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570" windowWidth="8835" windowHeight="846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2017'!$A$15:$M$181</definedName>
    <definedName name="_xlnm.Print_Titles" localSheetId="0">'АГО по 2020 изм 2017'!$15:$15</definedName>
    <definedName name="_xlnm.Print_Area" localSheetId="0">'АГО по 2020 изм 2017'!$A$1:$J$225</definedName>
  </definedNames>
  <calcPr fullCalcOnLoad="1"/>
</workbook>
</file>

<file path=xl/sharedStrings.xml><?xml version="1.0" encoding="utf-8"?>
<sst xmlns="http://schemas.openxmlformats.org/spreadsheetml/2006/main" count="284" uniqueCount="108">
  <si>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</si>
  <si>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</si>
  <si>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</si>
  <si>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</si>
  <si>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</si>
  <si>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</si>
  <si>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</si>
  <si>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</si>
  <si>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</si>
  <si>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</si>
  <si>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</si>
  <si>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</si>
  <si>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</si>
  <si>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</si>
  <si>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</si>
  <si>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</si>
  <si>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</si>
  <si>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</si>
  <si>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</si>
  <si>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</si>
  <si>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</si>
  <si>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</si>
  <si>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</si>
  <si>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</si>
  <si>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</si>
  <si>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</si>
  <si>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</si>
  <si>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</si>
  <si>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</si>
  <si>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</si>
  <si>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</si>
  <si>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</si>
  <si>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</si>
  <si>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</si>
  <si>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</si>
  <si>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</si>
  <si>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</si>
  <si>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</si>
  <si>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</si>
  <si>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</si>
  <si>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</si>
  <si>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</si>
  <si>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</si>
  <si>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</si>
  <si>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</si>
  <si>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</si>
  <si>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</si>
  <si>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</si>
  <si>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</si>
  <si>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</si>
  <si>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</si>
  <si>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</si>
  <si>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</si>
  <si>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</si>
  <si>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</si>
  <si>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</si>
  <si>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</si>
  <si>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</si>
  <si>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</si>
  <si>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</si>
  <si>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</si>
  <si>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</si>
  <si>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</si>
  <si>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</si>
  <si>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</si>
  <si>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</si>
  <si>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</si>
  <si>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</si>
  <si>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</si>
  <si>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</si>
  <si>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</si>
  <si>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</si>
  <si>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</si>
  <si>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</si>
  <si>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</si>
  <si>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</si>
  <si>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</si>
  <si>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</si>
  <si>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</si>
  <si>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</si>
  <si>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</si>
  <si>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</si>
  <si>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от_________________________ №____________</t>
  </si>
  <si>
    <t>Приложение № 2</t>
  </si>
  <si>
    <t>8, 23, 25, 26, 27</t>
  </si>
  <si>
    <t>4, 10, 17, 18, 25, 26, 27</t>
  </si>
  <si>
    <t>3, 11, 14, 15, 16, 21, 23, 25, 26, 27</t>
  </si>
  <si>
    <t>23, 27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</si>
  <si>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</si>
  <si>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</si>
  <si>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</si>
  <si>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</si>
  <si>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</si>
  <si>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</si>
  <si>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</si>
  <si>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</si>
  <si>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</si>
  <si>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</si>
  <si>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</si>
  <si>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</si>
  <si>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</si>
  <si>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</si>
  <si>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</si>
  <si>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</si>
  <si>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</si>
  <si>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>Приложение  2</t>
  </si>
  <si>
    <t>на территории Артемовского городского округа до 2020 года»</t>
  </si>
  <si>
    <t>к муниципальной программе «Развитие культуры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</si>
</sst>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 vertical="top" wrapText="1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8" fontId="7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68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67"/>
  <sheetViews>
    <sheetView tabSelected="1" view="pageBreakPreview" zoomScale="40" zoomScaleNormal="36" zoomScaleSheetLayoutView="40" workbookViewId="0" topLeftCell="A1">
      <pane ySplit="15" topLeftCell="A188" activePane="bottomLeft" state="frozen"/>
      <selection pane="topLeft" activeCell="B1" sqref="B1"/>
      <selection pane="bottomLeft" activeCell="G6" sqref="G6:J6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24.625" style="1" customWidth="1"/>
    <col min="8" max="8" width="25.75390625" style="1" customWidth="1"/>
    <col min="9" max="9" width="26.3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61" t="s">
        <v>105</v>
      </c>
      <c r="H1" s="61"/>
      <c r="I1" s="61"/>
      <c r="J1" s="61"/>
      <c r="K1" s="4"/>
    </row>
    <row r="2" spans="1:11" ht="70.5" customHeight="1">
      <c r="A2" s="33"/>
      <c r="B2" s="34"/>
      <c r="C2" s="35"/>
      <c r="D2" s="34"/>
      <c r="E2" s="34"/>
      <c r="F2" s="34"/>
      <c r="G2" s="61" t="s">
        <v>104</v>
      </c>
      <c r="H2" s="61"/>
      <c r="I2" s="61"/>
      <c r="J2" s="61"/>
      <c r="K2" s="4"/>
    </row>
    <row r="3" spans="1:11" ht="33" customHeight="1">
      <c r="A3" s="33"/>
      <c r="B3" s="34"/>
      <c r="C3" s="35"/>
      <c r="D3" s="34"/>
      <c r="E3" s="34"/>
      <c r="F3" s="34"/>
      <c r="G3" s="61" t="s">
        <v>82</v>
      </c>
      <c r="H3" s="61"/>
      <c r="I3" s="61"/>
      <c r="J3" s="61"/>
      <c r="K3" s="4"/>
    </row>
    <row r="4" spans="1:11" ht="19.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60" t="s">
        <v>83</v>
      </c>
      <c r="H5" s="60"/>
      <c r="I5" s="60"/>
      <c r="J5" s="60"/>
      <c r="K5" s="4"/>
    </row>
    <row r="6" spans="1:11" ht="27" customHeight="1">
      <c r="A6" s="33"/>
      <c r="B6" s="34"/>
      <c r="C6" s="35"/>
      <c r="D6" s="34"/>
      <c r="E6" s="34"/>
      <c r="F6" s="34"/>
      <c r="G6" s="61" t="s">
        <v>107</v>
      </c>
      <c r="H6" s="61"/>
      <c r="I6" s="61"/>
      <c r="J6" s="61"/>
      <c r="K6" s="4"/>
    </row>
    <row r="7" spans="1:11" ht="66.75" customHeight="1">
      <c r="A7" s="33"/>
      <c r="B7" s="34"/>
      <c r="C7" s="35"/>
      <c r="D7" s="34"/>
      <c r="E7" s="34"/>
      <c r="F7" s="34"/>
      <c r="G7" s="61" t="s">
        <v>106</v>
      </c>
      <c r="H7" s="61"/>
      <c r="I7" s="61"/>
      <c r="J7" s="61"/>
      <c r="K7" s="4"/>
    </row>
    <row r="8" spans="1:11" ht="25.5" customHeight="1">
      <c r="A8" s="37"/>
      <c r="B8" s="38"/>
      <c r="C8" s="39"/>
      <c r="D8" s="40"/>
      <c r="E8" s="40"/>
      <c r="F8" s="40"/>
      <c r="G8" s="40"/>
      <c r="H8" s="57"/>
      <c r="I8" s="57"/>
      <c r="J8" s="57"/>
      <c r="K8" s="4"/>
    </row>
    <row r="9" spans="1:11" ht="112.5" customHeight="1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"/>
    </row>
    <row r="10" spans="1:12" s="17" customFormat="1" ht="42" customHeight="1">
      <c r="A10" s="56" t="s">
        <v>3</v>
      </c>
      <c r="B10" s="56" t="s">
        <v>58</v>
      </c>
      <c r="C10" s="56" t="s">
        <v>0</v>
      </c>
      <c r="D10" s="56"/>
      <c r="E10" s="56"/>
      <c r="F10" s="56"/>
      <c r="G10" s="56"/>
      <c r="H10" s="56"/>
      <c r="I10" s="56"/>
      <c r="J10" s="56" t="s">
        <v>59</v>
      </c>
      <c r="K10" s="23"/>
      <c r="L10" s="22"/>
    </row>
    <row r="11" spans="1:12" s="17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23"/>
      <c r="L11" s="22"/>
    </row>
    <row r="12" spans="1:12" s="17" customFormat="1" ht="17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23"/>
      <c r="L12" s="22"/>
    </row>
    <row r="13" spans="1:12" s="17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23"/>
      <c r="L13" s="22"/>
    </row>
    <row r="14" spans="1:12" s="17" customFormat="1" ht="135.75" customHeight="1">
      <c r="A14" s="56"/>
      <c r="B14" s="56"/>
      <c r="C14" s="42" t="s">
        <v>57</v>
      </c>
      <c r="D14" s="42">
        <v>2015</v>
      </c>
      <c r="E14" s="42">
        <v>2016</v>
      </c>
      <c r="F14" s="42">
        <v>2017</v>
      </c>
      <c r="G14" s="42">
        <v>2018</v>
      </c>
      <c r="H14" s="42">
        <v>2019</v>
      </c>
      <c r="I14" s="42">
        <v>2020</v>
      </c>
      <c r="J14" s="56"/>
      <c r="K14" s="24"/>
      <c r="L14" s="22"/>
    </row>
    <row r="15" spans="1:11" ht="33">
      <c r="A15" s="43">
        <v>1</v>
      </c>
      <c r="B15" s="43">
        <v>2</v>
      </c>
      <c r="C15" s="43">
        <v>3</v>
      </c>
      <c r="D15" s="43">
        <v>5</v>
      </c>
      <c r="E15" s="43">
        <v>6</v>
      </c>
      <c r="F15" s="43">
        <v>7</v>
      </c>
      <c r="G15" s="43">
        <v>8</v>
      </c>
      <c r="H15" s="43">
        <v>9</v>
      </c>
      <c r="I15" s="43">
        <v>10</v>
      </c>
      <c r="J15" s="43">
        <v>11</v>
      </c>
      <c r="K15" s="6"/>
    </row>
    <row r="16" spans="1:13" ht="139.5" customHeight="1">
      <c r="A16" s="43">
        <v>1</v>
      </c>
      <c r="B16" s="44" t="s">
        <v>76</v>
      </c>
      <c r="C16" s="45">
        <f>SUM(D16:I16)</f>
        <v>1008225.8509900002</v>
      </c>
      <c r="D16" s="45">
        <f aca="true" t="shared" si="0" ref="D16:I16">SUM(D17:D19)</f>
        <v>120536.06963000003</v>
      </c>
      <c r="E16" s="45">
        <f>SUM(E17:E19)</f>
        <v>124734.89999999998</v>
      </c>
      <c r="F16" s="45">
        <f t="shared" si="0"/>
        <v>153055.502</v>
      </c>
      <c r="G16" s="45">
        <f t="shared" si="0"/>
        <v>152455.49800000002</v>
      </c>
      <c r="H16" s="45">
        <f t="shared" si="0"/>
        <v>152455.50120000003</v>
      </c>
      <c r="I16" s="45">
        <f t="shared" si="0"/>
        <v>304988.38016000006</v>
      </c>
      <c r="J16" s="43" t="s">
        <v>2</v>
      </c>
      <c r="K16" s="7"/>
      <c r="L16" s="2"/>
      <c r="M16" s="2"/>
    </row>
    <row r="17" spans="1:13" ht="33">
      <c r="A17" s="43">
        <v>2</v>
      </c>
      <c r="B17" s="46" t="s">
        <v>4</v>
      </c>
      <c r="C17" s="47">
        <f>SUM(D17:I17)</f>
        <v>656.6</v>
      </c>
      <c r="D17" s="47">
        <f aca="true" t="shared" si="1" ref="D17:I17">D21+D104+D148+D183+D189+D194+D201+D222+D206+D212</f>
        <v>14.6</v>
      </c>
      <c r="E17" s="47">
        <f t="shared" si="1"/>
        <v>642</v>
      </c>
      <c r="F17" s="47">
        <f t="shared" si="1"/>
        <v>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3"/>
      <c r="K17" s="7"/>
      <c r="L17" s="2"/>
      <c r="M17" s="2"/>
    </row>
    <row r="18" spans="1:13" ht="33">
      <c r="A18" s="43">
        <v>3</v>
      </c>
      <c r="B18" s="46" t="s">
        <v>1</v>
      </c>
      <c r="C18" s="47">
        <f>SUM(D18:I18)</f>
        <v>2100.2799999999997</v>
      </c>
      <c r="D18" s="47">
        <f aca="true" t="shared" si="2" ref="D18:I18">D22+D107+D149+D196+D184+D190+D202+D207+D214+D223</f>
        <v>1168.28</v>
      </c>
      <c r="E18" s="47">
        <f t="shared" si="2"/>
        <v>932</v>
      </c>
      <c r="F18" s="47">
        <f t="shared" si="2"/>
        <v>0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3"/>
      <c r="K18" s="7"/>
      <c r="L18" s="2"/>
      <c r="M18" s="2"/>
    </row>
    <row r="19" spans="1:13" ht="33">
      <c r="A19" s="43">
        <v>4</v>
      </c>
      <c r="B19" s="46" t="s">
        <v>5</v>
      </c>
      <c r="C19" s="47">
        <f>SUM(D19:I19)</f>
        <v>1005468.9709900002</v>
      </c>
      <c r="D19" s="47">
        <f aca="true" t="shared" si="3" ref="D19:I19">D23+D110+D150+D185++D191+D198+D203+D224+D208+D215</f>
        <v>119353.18963000002</v>
      </c>
      <c r="E19" s="47">
        <f t="shared" si="3"/>
        <v>123160.89999999998</v>
      </c>
      <c r="F19" s="47">
        <f t="shared" si="3"/>
        <v>153055.502</v>
      </c>
      <c r="G19" s="47">
        <f t="shared" si="3"/>
        <v>152455.49800000002</v>
      </c>
      <c r="H19" s="47">
        <f>H23+H110+H150+H185++H191+H198+H203+H224+H208+H215+0.01</f>
        <v>152455.50120000003</v>
      </c>
      <c r="I19" s="47">
        <f t="shared" si="3"/>
        <v>304988.38016000006</v>
      </c>
      <c r="J19" s="43"/>
      <c r="K19" s="7"/>
      <c r="L19" s="2"/>
      <c r="M19" s="2"/>
    </row>
    <row r="20" spans="1:13" s="11" customFormat="1" ht="374.25" customHeight="1">
      <c r="A20" s="43">
        <v>5</v>
      </c>
      <c r="B20" s="44" t="s">
        <v>88</v>
      </c>
      <c r="C20" s="45">
        <f aca="true" t="shared" si="4" ref="C20:I20">SUM(C21:C23)</f>
        <v>18958.99756</v>
      </c>
      <c r="D20" s="45">
        <f t="shared" si="4"/>
        <v>3080.2245600000006</v>
      </c>
      <c r="E20" s="45">
        <f t="shared" si="4"/>
        <v>3424.79</v>
      </c>
      <c r="F20" s="45">
        <f t="shared" si="4"/>
        <v>1867.137</v>
      </c>
      <c r="G20" s="45">
        <f t="shared" si="4"/>
        <v>3239.6520000000005</v>
      </c>
      <c r="H20" s="45">
        <f t="shared" si="4"/>
        <v>3037.194</v>
      </c>
      <c r="I20" s="45">
        <f t="shared" si="4"/>
        <v>4310</v>
      </c>
      <c r="J20" s="41" t="s">
        <v>2</v>
      </c>
      <c r="K20" s="9"/>
      <c r="L20" s="10"/>
      <c r="M20" s="10"/>
    </row>
    <row r="21" spans="1:13" s="14" customFormat="1" ht="33">
      <c r="A21" s="48">
        <v>6</v>
      </c>
      <c r="B21" s="46" t="s">
        <v>4</v>
      </c>
      <c r="C21" s="47">
        <f>SUM(D21:I21)</f>
        <v>0</v>
      </c>
      <c r="D21" s="47">
        <f aca="true" t="shared" si="5" ref="D21:I22">D31+D38+D46+D56+D63+D72+D82+D92+D100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8"/>
      <c r="K21" s="12"/>
      <c r="L21" s="13"/>
      <c r="M21" s="13"/>
    </row>
    <row r="22" spans="1:13" s="14" customFormat="1" ht="33">
      <c r="A22" s="48">
        <v>7</v>
      </c>
      <c r="B22" s="46" t="s">
        <v>1</v>
      </c>
      <c r="C22" s="47">
        <f>SUM(D22:I22)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66">
      <c r="A23" s="48">
        <v>8</v>
      </c>
      <c r="B23" s="46" t="s">
        <v>74</v>
      </c>
      <c r="C23" s="47">
        <f>SUM(D23:I23)</f>
        <v>18958.99756</v>
      </c>
      <c r="D23" s="47">
        <f>D24+D34+D41+D49+D59+D66+D75+D85+D95+0.01</f>
        <v>3080.2245600000006</v>
      </c>
      <c r="E23" s="47">
        <f>E24+E34+E41+E49+E59+E66+E75+E85+E95</f>
        <v>3424.79</v>
      </c>
      <c r="F23" s="47">
        <f>F24+F34+F41+F49+F59+F66+F75+F85+F95</f>
        <v>1867.137</v>
      </c>
      <c r="G23" s="47">
        <f>G24+G34+G41+G49+G59+G66+G75+G85+G95</f>
        <v>3239.6520000000005</v>
      </c>
      <c r="H23" s="47">
        <f>H24+H34+H41+H49+H59+H66+H75+H85+H95</f>
        <v>3037.194</v>
      </c>
      <c r="I23" s="47">
        <f>I24+I34+I41+I49+I59+I66+I75+I85+I95</f>
        <v>4310</v>
      </c>
      <c r="J23" s="48"/>
      <c r="K23" s="12"/>
      <c r="L23" s="13"/>
      <c r="M23" s="13"/>
    </row>
    <row r="24" spans="1:13" s="17" customFormat="1" ht="33">
      <c r="A24" s="43">
        <v>9</v>
      </c>
      <c r="B24" s="46" t="s">
        <v>70</v>
      </c>
      <c r="C24" s="47">
        <f>SUM(D24:I24)</f>
        <v>7136.44366</v>
      </c>
      <c r="D24" s="47">
        <f>330.84+570.96866</f>
        <v>901.8086599999999</v>
      </c>
      <c r="E24" s="47">
        <v>730.35</v>
      </c>
      <c r="F24" s="47">
        <v>511.915</v>
      </c>
      <c r="G24" s="47">
        <v>2592.37</v>
      </c>
      <c r="H24" s="47">
        <v>0</v>
      </c>
      <c r="I24" s="47">
        <f>SUM(I31:I33)</f>
        <v>2400</v>
      </c>
      <c r="J24" s="43">
        <v>12.27</v>
      </c>
      <c r="K24" s="20"/>
      <c r="L24" s="16"/>
      <c r="M24" s="16"/>
    </row>
    <row r="25" spans="1:13" s="17" customFormat="1" ht="165" hidden="1" outlineLevel="1">
      <c r="A25" s="43"/>
      <c r="B25" s="46" t="s">
        <v>16</v>
      </c>
      <c r="C25" s="47">
        <f aca="true" t="shared" si="6" ref="C25:C40">SUM(D25:I25)</f>
        <v>0</v>
      </c>
      <c r="D25" s="47"/>
      <c r="E25" s="47"/>
      <c r="F25" s="47"/>
      <c r="G25" s="47"/>
      <c r="H25" s="47"/>
      <c r="I25" s="47"/>
      <c r="J25" s="43"/>
      <c r="K25" s="20"/>
      <c r="L25" s="16"/>
      <c r="M25" s="16"/>
    </row>
    <row r="26" spans="1:13" s="17" customFormat="1" ht="165" hidden="1" outlineLevel="1">
      <c r="A26" s="43"/>
      <c r="B26" s="46" t="s">
        <v>17</v>
      </c>
      <c r="C26" s="47">
        <f t="shared" si="6"/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65" hidden="1" outlineLevel="1">
      <c r="A27" s="43"/>
      <c r="B27" s="46" t="s">
        <v>18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19</v>
      </c>
      <c r="C28" s="47">
        <f t="shared" si="6"/>
        <v>3300</v>
      </c>
      <c r="D28" s="47"/>
      <c r="E28" s="47"/>
      <c r="F28" s="47"/>
      <c r="G28" s="47">
        <f>500+300+1000+1500</f>
        <v>3300</v>
      </c>
      <c r="H28" s="47"/>
      <c r="I28" s="47"/>
      <c r="J28" s="43"/>
      <c r="K28" s="20"/>
      <c r="L28" s="16"/>
      <c r="M28" s="16"/>
    </row>
    <row r="29" spans="1:13" s="17" customFormat="1" ht="99" hidden="1" outlineLevel="1">
      <c r="A29" s="43"/>
      <c r="B29" s="46" t="s">
        <v>20</v>
      </c>
      <c r="C29" s="47">
        <f t="shared" si="6"/>
        <v>3835.8</v>
      </c>
      <c r="D29" s="47"/>
      <c r="E29" s="47"/>
      <c r="F29" s="47"/>
      <c r="G29" s="47"/>
      <c r="H29" s="47">
        <f>3335.8+500</f>
        <v>3835.8</v>
      </c>
      <c r="I29" s="47"/>
      <c r="J29" s="43"/>
      <c r="K29" s="20"/>
      <c r="L29" s="16"/>
      <c r="M29" s="16"/>
    </row>
    <row r="30" spans="1:13" s="17" customFormat="1" ht="99" hidden="1" outlineLevel="1">
      <c r="A30" s="43"/>
      <c r="B30" s="46" t="s">
        <v>21</v>
      </c>
      <c r="C30" s="47">
        <f t="shared" si="6"/>
        <v>2400</v>
      </c>
      <c r="D30" s="47"/>
      <c r="E30" s="47"/>
      <c r="F30" s="47"/>
      <c r="G30" s="47"/>
      <c r="H30" s="47"/>
      <c r="I30" s="47">
        <f>400+500+1500</f>
        <v>2400</v>
      </c>
      <c r="J30" s="43"/>
      <c r="K30" s="20"/>
      <c r="L30" s="16"/>
      <c r="M30" s="16"/>
    </row>
    <row r="31" spans="1:13" s="19" customFormat="1" ht="33" hidden="1" outlineLevel="1" collapsed="1">
      <c r="A31" s="48"/>
      <c r="B31" s="49" t="s">
        <v>4</v>
      </c>
      <c r="C31" s="47">
        <f t="shared" si="6"/>
        <v>0</v>
      </c>
      <c r="D31" s="50"/>
      <c r="E31" s="50"/>
      <c r="F31" s="50"/>
      <c r="G31" s="50"/>
      <c r="H31" s="50"/>
      <c r="I31" s="50"/>
      <c r="J31" s="48"/>
      <c r="K31" s="21"/>
      <c r="L31" s="18"/>
      <c r="M31" s="18"/>
    </row>
    <row r="32" spans="1:13" s="19" customFormat="1" ht="33" hidden="1" outlineLevel="1">
      <c r="A32" s="48"/>
      <c r="B32" s="49" t="s">
        <v>1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5</v>
      </c>
      <c r="C33" s="47">
        <f t="shared" si="6"/>
        <v>9535.8</v>
      </c>
      <c r="D33" s="50"/>
      <c r="E33" s="50"/>
      <c r="F33" s="50"/>
      <c r="G33" s="50">
        <v>3300</v>
      </c>
      <c r="H33" s="50">
        <v>3835.8</v>
      </c>
      <c r="I33" s="50">
        <v>2400</v>
      </c>
      <c r="J33" s="48"/>
      <c r="K33" s="21"/>
      <c r="L33" s="18"/>
      <c r="M33" s="18"/>
    </row>
    <row r="34" spans="1:13" s="17" customFormat="1" ht="33" collapsed="1">
      <c r="A34" s="43">
        <v>10</v>
      </c>
      <c r="B34" s="46" t="s">
        <v>71</v>
      </c>
      <c r="C34" s="47">
        <f>SUM(D34:I34)</f>
        <v>1038.7240000000002</v>
      </c>
      <c r="D34" s="47">
        <f>8.736-0.016+592.024</f>
        <v>600.744</v>
      </c>
      <c r="E34" s="47">
        <v>28.78</v>
      </c>
      <c r="F34" s="47">
        <f>40+69.2</f>
        <v>109.2</v>
      </c>
      <c r="G34" s="47">
        <v>0</v>
      </c>
      <c r="H34" s="47">
        <v>0</v>
      </c>
      <c r="I34" s="47">
        <f>SUM(I38:I40)</f>
        <v>300</v>
      </c>
      <c r="J34" s="43">
        <v>12.27</v>
      </c>
      <c r="K34" s="20"/>
      <c r="L34" s="16"/>
      <c r="M34" s="16"/>
    </row>
    <row r="35" spans="1:13" s="17" customFormat="1" ht="99" hidden="1" outlineLevel="1">
      <c r="A35" s="43"/>
      <c r="B35" s="46" t="s">
        <v>22</v>
      </c>
      <c r="C35" s="47">
        <f t="shared" si="6"/>
        <v>176</v>
      </c>
      <c r="D35" s="47">
        <f>66+110</f>
        <v>176</v>
      </c>
      <c r="E35" s="47"/>
      <c r="F35" s="47"/>
      <c r="G35" s="47"/>
      <c r="H35" s="47"/>
      <c r="I35" s="47"/>
      <c r="J35" s="51"/>
      <c r="K35" s="20"/>
      <c r="L35" s="16"/>
      <c r="M35" s="16"/>
    </row>
    <row r="36" spans="1:13" s="17" customFormat="1" ht="132" hidden="1" outlineLevel="1">
      <c r="A36" s="43"/>
      <c r="B36" s="46" t="s">
        <v>23</v>
      </c>
      <c r="C36" s="47">
        <f t="shared" si="6"/>
        <v>265</v>
      </c>
      <c r="D36" s="47"/>
      <c r="E36" s="47"/>
      <c r="F36" s="47">
        <v>265</v>
      </c>
      <c r="G36" s="47"/>
      <c r="H36" s="47"/>
      <c r="I36" s="47"/>
      <c r="J36" s="51"/>
      <c r="K36" s="20"/>
      <c r="L36" s="16"/>
      <c r="M36" s="16"/>
    </row>
    <row r="37" spans="1:13" s="17" customFormat="1" ht="66" hidden="1" outlineLevel="1">
      <c r="A37" s="43"/>
      <c r="B37" s="46" t="s">
        <v>24</v>
      </c>
      <c r="C37" s="47">
        <f t="shared" si="6"/>
        <v>0</v>
      </c>
      <c r="D37" s="47"/>
      <c r="E37" s="47"/>
      <c r="F37" s="47"/>
      <c r="G37" s="47"/>
      <c r="H37" s="47"/>
      <c r="I37" s="47"/>
      <c r="J37" s="51"/>
      <c r="K37" s="20"/>
      <c r="L37" s="16"/>
      <c r="M37" s="16"/>
    </row>
    <row r="38" spans="1:13" s="17" customFormat="1" ht="33" hidden="1" outlineLevel="1" collapsed="1">
      <c r="A38" s="43"/>
      <c r="B38" s="49" t="s">
        <v>4</v>
      </c>
      <c r="C38" s="47">
        <f t="shared" si="6"/>
        <v>0</v>
      </c>
      <c r="D38" s="50"/>
      <c r="E38" s="50"/>
      <c r="F38" s="50"/>
      <c r="G38" s="50"/>
      <c r="H38" s="50"/>
      <c r="I38" s="50"/>
      <c r="J38" s="51"/>
      <c r="K38" s="20"/>
      <c r="L38" s="16"/>
      <c r="M38" s="16"/>
    </row>
    <row r="39" spans="1:13" s="17" customFormat="1" ht="33" hidden="1" outlineLevel="1">
      <c r="A39" s="43"/>
      <c r="B39" s="49" t="s">
        <v>1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5</v>
      </c>
      <c r="C40" s="47">
        <f t="shared" si="6"/>
        <v>2341</v>
      </c>
      <c r="D40" s="50">
        <f>176000/1000+500</f>
        <v>676</v>
      </c>
      <c r="E40" s="50">
        <v>500</v>
      </c>
      <c r="F40" s="50">
        <f>165+100</f>
        <v>265</v>
      </c>
      <c r="G40" s="50">
        <v>300</v>
      </c>
      <c r="H40" s="50">
        <v>300</v>
      </c>
      <c r="I40" s="50">
        <v>300</v>
      </c>
      <c r="J40" s="51"/>
      <c r="K40" s="20"/>
      <c r="L40" s="16"/>
      <c r="M40" s="16"/>
    </row>
    <row r="41" spans="1:13" s="17" customFormat="1" ht="33" collapsed="1">
      <c r="A41" s="43">
        <v>11</v>
      </c>
      <c r="B41" s="46" t="s">
        <v>72</v>
      </c>
      <c r="C41" s="47">
        <f>SUM(D41:I41)</f>
        <v>1774.595</v>
      </c>
      <c r="D41" s="47">
        <f>150+7.026</f>
        <v>157.026</v>
      </c>
      <c r="E41" s="47">
        <v>0</v>
      </c>
      <c r="F41" s="47">
        <v>67.153</v>
      </c>
      <c r="G41" s="47">
        <v>37.15</v>
      </c>
      <c r="H41" s="47">
        <f>495.013+818.253</f>
        <v>1313.266</v>
      </c>
      <c r="I41" s="47">
        <f>SUM(I46:I48)</f>
        <v>200</v>
      </c>
      <c r="J41" s="43">
        <v>12.27</v>
      </c>
      <c r="K41" s="20"/>
      <c r="L41" s="16"/>
      <c r="M41" s="16"/>
    </row>
    <row r="42" spans="1:13" s="17" customFormat="1" ht="165" hidden="1" outlineLevel="1">
      <c r="A42" s="43"/>
      <c r="B42" s="46" t="s">
        <v>25</v>
      </c>
      <c r="C42" s="47">
        <f aca="true" t="shared" si="7" ref="C42:C48">SUM(D21:I21)</f>
        <v>0</v>
      </c>
      <c r="D42" s="47">
        <f>800+2500+500</f>
        <v>3800</v>
      </c>
      <c r="E42" s="47"/>
      <c r="F42" s="47"/>
      <c r="G42" s="47"/>
      <c r="H42" s="47"/>
      <c r="I42" s="47"/>
      <c r="J42" s="43"/>
      <c r="K42" s="20"/>
      <c r="L42" s="16"/>
      <c r="M42" s="16"/>
    </row>
    <row r="43" spans="1:13" s="17" customFormat="1" ht="33" hidden="1" outlineLevel="1">
      <c r="A43" s="43"/>
      <c r="B43" s="46" t="s">
        <v>26</v>
      </c>
      <c r="C43" s="47">
        <f t="shared" si="7"/>
        <v>0</v>
      </c>
      <c r="D43" s="47"/>
      <c r="E43" s="47">
        <v>2080</v>
      </c>
      <c r="F43" s="47"/>
      <c r="G43" s="47"/>
      <c r="H43" s="47"/>
      <c r="I43" s="47"/>
      <c r="J43" s="43"/>
      <c r="K43" s="20"/>
      <c r="L43" s="16"/>
      <c r="M43" s="16"/>
    </row>
    <row r="44" spans="1:13" s="17" customFormat="1" ht="66" hidden="1" outlineLevel="1">
      <c r="A44" s="43"/>
      <c r="B44" s="46" t="s">
        <v>27</v>
      </c>
      <c r="C44" s="47">
        <f t="shared" si="7"/>
        <v>18958.99756</v>
      </c>
      <c r="D44" s="47"/>
      <c r="E44" s="47"/>
      <c r="F44" s="47">
        <f>870+100</f>
        <v>970</v>
      </c>
      <c r="G44" s="47"/>
      <c r="H44" s="47"/>
      <c r="I44" s="47"/>
      <c r="J44" s="43"/>
      <c r="K44" s="20"/>
      <c r="L44" s="16"/>
      <c r="M44" s="16"/>
    </row>
    <row r="45" spans="1:13" s="17" customFormat="1" ht="33" hidden="1" outlineLevel="1">
      <c r="A45" s="43"/>
      <c r="B45" s="46" t="s">
        <v>28</v>
      </c>
      <c r="C45" s="47">
        <f t="shared" si="7"/>
        <v>7136.44366</v>
      </c>
      <c r="D45" s="47"/>
      <c r="E45" s="47"/>
      <c r="F45" s="47"/>
      <c r="G45" s="47">
        <v>1500</v>
      </c>
      <c r="H45" s="47"/>
      <c r="I45" s="47"/>
      <c r="J45" s="43"/>
      <c r="K45" s="20"/>
      <c r="L45" s="16"/>
      <c r="M45" s="16"/>
    </row>
    <row r="46" spans="1:13" s="17" customFormat="1" ht="33" hidden="1" outlineLevel="1" collapsed="1">
      <c r="A46" s="43"/>
      <c r="B46" s="49" t="s">
        <v>4</v>
      </c>
      <c r="C46" s="47">
        <f t="shared" si="7"/>
        <v>0</v>
      </c>
      <c r="D46" s="50"/>
      <c r="E46" s="50"/>
      <c r="F46" s="50"/>
      <c r="G46" s="50"/>
      <c r="H46" s="50"/>
      <c r="I46" s="50"/>
      <c r="J46" s="43"/>
      <c r="K46" s="20"/>
      <c r="L46" s="16"/>
      <c r="M46" s="16"/>
    </row>
    <row r="47" spans="1:13" s="17" customFormat="1" ht="33" hidden="1" outlineLevel="1">
      <c r="A47" s="43"/>
      <c r="B47" s="49" t="s">
        <v>1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5</v>
      </c>
      <c r="C48" s="47">
        <f t="shared" si="7"/>
        <v>0</v>
      </c>
      <c r="D48" s="50">
        <f>500+2500+800</f>
        <v>3800</v>
      </c>
      <c r="E48" s="50">
        <f>2080</f>
        <v>2080</v>
      </c>
      <c r="F48" s="50">
        <f>870+100</f>
        <v>970</v>
      </c>
      <c r="G48" s="50">
        <f>1500</f>
        <v>1500</v>
      </c>
      <c r="H48" s="50">
        <v>200</v>
      </c>
      <c r="I48" s="50">
        <v>200</v>
      </c>
      <c r="J48" s="43"/>
      <c r="K48" s="20"/>
      <c r="L48" s="16"/>
      <c r="M48" s="16"/>
    </row>
    <row r="49" spans="1:13" s="17" customFormat="1" ht="33" collapsed="1">
      <c r="A49" s="43">
        <v>12</v>
      </c>
      <c r="B49" s="46" t="s">
        <v>9</v>
      </c>
      <c r="C49" s="47">
        <f>SUM(D49:I49)</f>
        <v>1002.2560000000001</v>
      </c>
      <c r="D49" s="47">
        <v>400</v>
      </c>
      <c r="E49" s="47">
        <v>13.25</v>
      </c>
      <c r="F49" s="47">
        <v>53.002</v>
      </c>
      <c r="G49" s="47">
        <v>18.002</v>
      </c>
      <c r="H49" s="47">
        <v>18.002</v>
      </c>
      <c r="I49" s="47">
        <f>SUM(I56:I58)</f>
        <v>500</v>
      </c>
      <c r="J49" s="43">
        <v>12.27</v>
      </c>
      <c r="K49" s="20"/>
      <c r="L49" s="16"/>
      <c r="M49" s="16"/>
    </row>
    <row r="50" spans="1:13" s="17" customFormat="1" ht="99" hidden="1" outlineLevel="1">
      <c r="A50" s="43"/>
      <c r="B50" s="46" t="s">
        <v>29</v>
      </c>
      <c r="C50" s="47">
        <f aca="true" t="shared" si="8" ref="C50:C58">SUM(D29:I29)</f>
        <v>3835.8</v>
      </c>
      <c r="D50" s="47">
        <f>500+2500</f>
        <v>3000</v>
      </c>
      <c r="E50" s="47"/>
      <c r="F50" s="47"/>
      <c r="G50" s="47"/>
      <c r="H50" s="47"/>
      <c r="I50" s="47"/>
      <c r="J50" s="43"/>
      <c r="K50" s="20"/>
      <c r="L50" s="16"/>
      <c r="M50" s="16"/>
    </row>
    <row r="51" spans="1:13" s="17" customFormat="1" ht="33" hidden="1" outlineLevel="1">
      <c r="A51" s="43"/>
      <c r="B51" s="46" t="s">
        <v>30</v>
      </c>
      <c r="C51" s="47">
        <f t="shared" si="8"/>
        <v>2400</v>
      </c>
      <c r="D51" s="47"/>
      <c r="E51" s="47">
        <v>2000</v>
      </c>
      <c r="F51" s="47"/>
      <c r="G51" s="47"/>
      <c r="H51" s="47"/>
      <c r="I51" s="47"/>
      <c r="J51" s="43"/>
      <c r="K51" s="20"/>
      <c r="L51" s="16"/>
      <c r="M51" s="16"/>
    </row>
    <row r="52" spans="1:13" s="17" customFormat="1" ht="66" hidden="1" outlineLevel="1">
      <c r="A52" s="43"/>
      <c r="B52" s="46" t="s">
        <v>31</v>
      </c>
      <c r="C52" s="47">
        <f t="shared" si="8"/>
        <v>0</v>
      </c>
      <c r="D52" s="47"/>
      <c r="E52" s="47"/>
      <c r="F52" s="47">
        <f>3000+1500</f>
        <v>4500</v>
      </c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32</v>
      </c>
      <c r="C53" s="47">
        <f t="shared" si="8"/>
        <v>0</v>
      </c>
      <c r="D53" s="47"/>
      <c r="E53" s="47"/>
      <c r="F53" s="47"/>
      <c r="G53" s="47">
        <f>2000</f>
        <v>2000</v>
      </c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33</v>
      </c>
      <c r="C54" s="47">
        <f t="shared" si="8"/>
        <v>9535.8</v>
      </c>
      <c r="D54" s="47"/>
      <c r="E54" s="47"/>
      <c r="F54" s="47"/>
      <c r="G54" s="47"/>
      <c r="H54" s="47">
        <f>500+200</f>
        <v>700</v>
      </c>
      <c r="I54" s="47"/>
      <c r="J54" s="43"/>
      <c r="K54" s="20"/>
      <c r="L54" s="16"/>
      <c r="M54" s="16"/>
    </row>
    <row r="55" spans="1:13" s="17" customFormat="1" ht="33" hidden="1" outlineLevel="1">
      <c r="A55" s="43"/>
      <c r="B55" s="46" t="s">
        <v>34</v>
      </c>
      <c r="C55" s="47">
        <f t="shared" si="8"/>
        <v>1038.7240000000002</v>
      </c>
      <c r="D55" s="47"/>
      <c r="E55" s="47"/>
      <c r="F55" s="47"/>
      <c r="G55" s="47"/>
      <c r="H55" s="47"/>
      <c r="I55" s="47">
        <v>500</v>
      </c>
      <c r="J55" s="43"/>
      <c r="K55" s="20"/>
      <c r="L55" s="16"/>
      <c r="M55" s="16"/>
    </row>
    <row r="56" spans="1:13" s="17" customFormat="1" ht="33" hidden="1" outlineLevel="1" collapsed="1">
      <c r="A56" s="43"/>
      <c r="B56" s="49" t="s">
        <v>4</v>
      </c>
      <c r="C56" s="47">
        <f t="shared" si="8"/>
        <v>176</v>
      </c>
      <c r="D56" s="50"/>
      <c r="E56" s="50"/>
      <c r="F56" s="50"/>
      <c r="G56" s="50"/>
      <c r="H56" s="50"/>
      <c r="I56" s="50"/>
      <c r="J56" s="43"/>
      <c r="K56" s="20"/>
      <c r="L56" s="16"/>
      <c r="M56" s="16"/>
    </row>
    <row r="57" spans="1:13" s="17" customFormat="1" ht="33" hidden="1" outlineLevel="1">
      <c r="A57" s="43"/>
      <c r="B57" s="49" t="s">
        <v>1</v>
      </c>
      <c r="C57" s="47">
        <f t="shared" si="8"/>
        <v>265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5</v>
      </c>
      <c r="C58" s="47">
        <f t="shared" si="8"/>
        <v>0</v>
      </c>
      <c r="D58" s="50">
        <f>2500+500</f>
        <v>3000</v>
      </c>
      <c r="E58" s="50">
        <f>2000</f>
        <v>2000</v>
      </c>
      <c r="F58" s="50">
        <f>3000+1500</f>
        <v>4500</v>
      </c>
      <c r="G58" s="50">
        <f>2000</f>
        <v>2000</v>
      </c>
      <c r="H58" s="50">
        <f>700</f>
        <v>700</v>
      </c>
      <c r="I58" s="50">
        <v>500</v>
      </c>
      <c r="J58" s="43"/>
      <c r="K58" s="20"/>
      <c r="L58" s="16"/>
      <c r="M58" s="16"/>
    </row>
    <row r="59" spans="1:13" s="17" customFormat="1" ht="33" collapsed="1">
      <c r="A59" s="43">
        <v>13</v>
      </c>
      <c r="B59" s="46" t="s">
        <v>10</v>
      </c>
      <c r="C59" s="47">
        <f>SUM(D59:I59)</f>
        <v>961.767</v>
      </c>
      <c r="D59" s="47">
        <f>257.5-70-0.768+100+59.935</f>
        <v>346.667</v>
      </c>
      <c r="E59" s="47">
        <v>465.1</v>
      </c>
      <c r="F59" s="47">
        <v>0</v>
      </c>
      <c r="G59" s="47">
        <v>0</v>
      </c>
      <c r="H59" s="47">
        <v>0</v>
      </c>
      <c r="I59" s="47">
        <f>SUM(I63:I65)</f>
        <v>150</v>
      </c>
      <c r="J59" s="43">
        <v>12.27</v>
      </c>
      <c r="K59" s="20"/>
      <c r="L59" s="16"/>
      <c r="M59" s="16"/>
    </row>
    <row r="60" spans="1:13" s="17" customFormat="1" ht="33" hidden="1" outlineLevel="1">
      <c r="A60" s="43"/>
      <c r="B60" s="46" t="s">
        <v>35</v>
      </c>
      <c r="C60" s="47">
        <f aca="true" t="shared" si="9" ref="C60:C102">SUM(D39:I39)</f>
        <v>0</v>
      </c>
      <c r="D60" s="47">
        <v>1000</v>
      </c>
      <c r="E60" s="47"/>
      <c r="F60" s="47"/>
      <c r="G60" s="47"/>
      <c r="H60" s="47"/>
      <c r="I60" s="47"/>
      <c r="J60" s="43"/>
      <c r="K60" s="20"/>
      <c r="L60" s="16"/>
      <c r="M60" s="16"/>
    </row>
    <row r="61" spans="1:13" s="17" customFormat="1" ht="33" hidden="1" outlineLevel="1">
      <c r="A61" s="43"/>
      <c r="B61" s="46" t="s">
        <v>36</v>
      </c>
      <c r="C61" s="47">
        <f t="shared" si="9"/>
        <v>2341</v>
      </c>
      <c r="D61" s="47"/>
      <c r="E61" s="47">
        <v>1000</v>
      </c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37</v>
      </c>
      <c r="C62" s="47">
        <f t="shared" si="9"/>
        <v>1774.595</v>
      </c>
      <c r="D62" s="47"/>
      <c r="E62" s="47"/>
      <c r="F62" s="47">
        <v>1000</v>
      </c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 collapsed="1">
      <c r="A63" s="43"/>
      <c r="B63" s="49" t="s">
        <v>4</v>
      </c>
      <c r="C63" s="47">
        <f t="shared" si="9"/>
        <v>3800</v>
      </c>
      <c r="D63" s="50"/>
      <c r="E63" s="50"/>
      <c r="F63" s="50"/>
      <c r="G63" s="50"/>
      <c r="H63" s="50"/>
      <c r="I63" s="50"/>
      <c r="J63" s="43"/>
      <c r="K63" s="20"/>
      <c r="L63" s="16"/>
      <c r="M63" s="16"/>
    </row>
    <row r="64" spans="1:13" s="17" customFormat="1" ht="33" hidden="1" outlineLevel="1">
      <c r="A64" s="43"/>
      <c r="B64" s="49" t="s">
        <v>1</v>
      </c>
      <c r="C64" s="47">
        <f t="shared" si="9"/>
        <v>2080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5</v>
      </c>
      <c r="C65" s="47">
        <f t="shared" si="9"/>
        <v>970</v>
      </c>
      <c r="D65" s="50">
        <f>1000</f>
        <v>1000</v>
      </c>
      <c r="E65" s="50">
        <v>1000</v>
      </c>
      <c r="F65" s="50">
        <v>1000</v>
      </c>
      <c r="G65" s="50">
        <v>150</v>
      </c>
      <c r="H65" s="50">
        <v>150</v>
      </c>
      <c r="I65" s="50">
        <v>150</v>
      </c>
      <c r="J65" s="43"/>
      <c r="K65" s="20"/>
      <c r="L65" s="16"/>
      <c r="M65" s="16"/>
    </row>
    <row r="66" spans="1:13" s="17" customFormat="1" ht="33" collapsed="1">
      <c r="A66" s="43">
        <v>14</v>
      </c>
      <c r="B66" s="46" t="s">
        <v>11</v>
      </c>
      <c r="C66" s="47">
        <f>SUM(D66:I66)</f>
        <v>1421.17597</v>
      </c>
      <c r="D66" s="47">
        <f>411.45-49.98+5.269+32.03697</f>
        <v>398.77597</v>
      </c>
      <c r="E66" s="47">
        <v>308.6</v>
      </c>
      <c r="F66" s="47">
        <f>60-60</f>
        <v>0</v>
      </c>
      <c r="G66" s="47">
        <v>0</v>
      </c>
      <c r="H66" s="47">
        <v>513.8</v>
      </c>
      <c r="I66" s="47">
        <f>SUM(I72:I74)</f>
        <v>200</v>
      </c>
      <c r="J66" s="43">
        <v>12.27</v>
      </c>
      <c r="K66" s="20"/>
      <c r="L66" s="16"/>
      <c r="M66" s="16"/>
    </row>
    <row r="67" spans="1:13" s="17" customFormat="1" ht="66" hidden="1" outlineLevel="1">
      <c r="A67" s="43"/>
      <c r="B67" s="46" t="s">
        <v>38</v>
      </c>
      <c r="C67" s="47">
        <f t="shared" si="9"/>
        <v>0</v>
      </c>
      <c r="D67" s="47">
        <f>1500+1500</f>
        <v>3000</v>
      </c>
      <c r="E67" s="47"/>
      <c r="F67" s="47"/>
      <c r="G67" s="47"/>
      <c r="H67" s="47"/>
      <c r="I67" s="47"/>
      <c r="J67" s="52"/>
      <c r="K67" s="20"/>
      <c r="L67" s="16"/>
      <c r="M67" s="16"/>
    </row>
    <row r="68" spans="1:13" s="17" customFormat="1" ht="33" hidden="1" outlineLevel="1">
      <c r="A68" s="43"/>
      <c r="B68" s="46" t="s">
        <v>39</v>
      </c>
      <c r="C68" s="47">
        <f t="shared" si="9"/>
        <v>0</v>
      </c>
      <c r="D68" s="47"/>
      <c r="E68" s="47">
        <v>2500</v>
      </c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40</v>
      </c>
      <c r="C69" s="47">
        <f t="shared" si="9"/>
        <v>8750</v>
      </c>
      <c r="D69" s="47"/>
      <c r="E69" s="47"/>
      <c r="F69" s="47">
        <v>2500</v>
      </c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41</v>
      </c>
      <c r="C70" s="47">
        <f t="shared" si="9"/>
        <v>1002.2560000000001</v>
      </c>
      <c r="D70" s="47"/>
      <c r="E70" s="47"/>
      <c r="F70" s="47"/>
      <c r="G70" s="47">
        <v>2350</v>
      </c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42</v>
      </c>
      <c r="C71" s="47">
        <f t="shared" si="9"/>
        <v>3000</v>
      </c>
      <c r="D71" s="47"/>
      <c r="E71" s="47"/>
      <c r="F71" s="47"/>
      <c r="G71" s="47"/>
      <c r="H71" s="47">
        <v>3500</v>
      </c>
      <c r="I71" s="47"/>
      <c r="J71" s="52"/>
      <c r="K71" s="20"/>
      <c r="L71" s="16"/>
      <c r="M71" s="16"/>
    </row>
    <row r="72" spans="1:13" s="17" customFormat="1" ht="33" hidden="1" outlineLevel="1" collapsed="1">
      <c r="A72" s="43"/>
      <c r="B72" s="49" t="s">
        <v>4</v>
      </c>
      <c r="C72" s="47">
        <f t="shared" si="9"/>
        <v>2000</v>
      </c>
      <c r="D72" s="50"/>
      <c r="E72" s="50"/>
      <c r="F72" s="50"/>
      <c r="G72" s="50"/>
      <c r="H72" s="50"/>
      <c r="I72" s="50"/>
      <c r="J72" s="52"/>
      <c r="K72" s="20"/>
      <c r="L72" s="16"/>
      <c r="M72" s="16"/>
    </row>
    <row r="73" spans="1:13" s="17" customFormat="1" ht="33" hidden="1" outlineLevel="1">
      <c r="A73" s="43"/>
      <c r="B73" s="49" t="s">
        <v>1</v>
      </c>
      <c r="C73" s="47">
        <f t="shared" si="9"/>
        <v>4500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5</v>
      </c>
      <c r="C74" s="47">
        <f t="shared" si="9"/>
        <v>2000</v>
      </c>
      <c r="D74" s="50">
        <f>1500+1500</f>
        <v>3000</v>
      </c>
      <c r="E74" s="50">
        <f>2500</f>
        <v>2500</v>
      </c>
      <c r="F74" s="50">
        <f>2500</f>
        <v>2500</v>
      </c>
      <c r="G74" s="50">
        <f>2350</f>
        <v>2350</v>
      </c>
      <c r="H74" s="50">
        <f>3500</f>
        <v>3500</v>
      </c>
      <c r="I74" s="50">
        <v>200</v>
      </c>
      <c r="J74" s="52"/>
      <c r="K74" s="20"/>
      <c r="L74" s="16"/>
      <c r="M74" s="16"/>
    </row>
    <row r="75" spans="1:13" s="17" customFormat="1" ht="70.5" customHeight="1" collapsed="1">
      <c r="A75" s="43">
        <v>15</v>
      </c>
      <c r="B75" s="53" t="s">
        <v>12</v>
      </c>
      <c r="C75" s="47">
        <f>SUM(D75:I75)</f>
        <v>1914.75661</v>
      </c>
      <c r="D75" s="47">
        <f>32.53-11.85289+19.6625</f>
        <v>40.33961</v>
      </c>
      <c r="E75" s="47">
        <v>2.29</v>
      </c>
      <c r="F75" s="47">
        <f>149.027+58.5</f>
        <v>207.527</v>
      </c>
      <c r="G75" s="47">
        <v>402.3</v>
      </c>
      <c r="H75" s="47">
        <v>1002.3</v>
      </c>
      <c r="I75" s="47">
        <f>SUM(I82:I84)</f>
        <v>260</v>
      </c>
      <c r="J75" s="43">
        <v>12.27</v>
      </c>
      <c r="K75" s="20"/>
      <c r="L75" s="16"/>
      <c r="M75" s="16"/>
    </row>
    <row r="76" spans="1:13" s="17" customFormat="1" ht="66" hidden="1" outlineLevel="1">
      <c r="A76" s="43"/>
      <c r="B76" s="53" t="s">
        <v>43</v>
      </c>
      <c r="C76" s="47">
        <f t="shared" si="9"/>
        <v>500</v>
      </c>
      <c r="D76" s="47">
        <f>300+220</f>
        <v>520</v>
      </c>
      <c r="E76" s="47"/>
      <c r="F76" s="47"/>
      <c r="G76" s="47"/>
      <c r="H76" s="47"/>
      <c r="I76" s="47"/>
      <c r="J76" s="52"/>
      <c r="K76" s="20"/>
      <c r="L76" s="16"/>
      <c r="M76" s="16"/>
    </row>
    <row r="77" spans="1:13" s="17" customFormat="1" ht="99" hidden="1" outlineLevel="1">
      <c r="A77" s="43"/>
      <c r="B77" s="53" t="s">
        <v>44</v>
      </c>
      <c r="C77" s="47">
        <f t="shared" si="9"/>
        <v>0</v>
      </c>
      <c r="D77" s="47"/>
      <c r="E77" s="47">
        <f>320+150+110</f>
        <v>580</v>
      </c>
      <c r="F77" s="47"/>
      <c r="G77" s="47"/>
      <c r="H77" s="47"/>
      <c r="I77" s="47"/>
      <c r="J77" s="52"/>
      <c r="K77" s="20"/>
      <c r="L77" s="16"/>
      <c r="M77" s="16"/>
    </row>
    <row r="78" spans="1:13" s="17" customFormat="1" ht="33" hidden="1" outlineLevel="1">
      <c r="A78" s="43"/>
      <c r="B78" s="53" t="s">
        <v>45</v>
      </c>
      <c r="C78" s="47">
        <f t="shared" si="9"/>
        <v>0</v>
      </c>
      <c r="D78" s="47"/>
      <c r="E78" s="47"/>
      <c r="F78" s="47">
        <v>2700</v>
      </c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46</v>
      </c>
      <c r="C79" s="47">
        <f t="shared" si="9"/>
        <v>12700</v>
      </c>
      <c r="D79" s="47"/>
      <c r="E79" s="47"/>
      <c r="F79" s="47"/>
      <c r="G79" s="47">
        <v>750</v>
      </c>
      <c r="H79" s="47"/>
      <c r="I79" s="47"/>
      <c r="J79" s="52"/>
      <c r="K79" s="20"/>
      <c r="L79" s="16"/>
      <c r="M79" s="16"/>
    </row>
    <row r="80" spans="1:13" s="17" customFormat="1" ht="66" hidden="1" outlineLevel="1">
      <c r="A80" s="43"/>
      <c r="B80" s="53" t="s">
        <v>47</v>
      </c>
      <c r="C80" s="47">
        <f t="shared" si="9"/>
        <v>961.767</v>
      </c>
      <c r="D80" s="47"/>
      <c r="E80" s="47"/>
      <c r="F80" s="47"/>
      <c r="G80" s="47"/>
      <c r="H80" s="47">
        <v>260</v>
      </c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1000</v>
      </c>
      <c r="D81" s="47"/>
      <c r="E81" s="47"/>
      <c r="F81" s="47"/>
      <c r="G81" s="47"/>
      <c r="H81" s="47"/>
      <c r="I81" s="47">
        <v>260</v>
      </c>
      <c r="J81" s="52"/>
      <c r="K81" s="20"/>
      <c r="L81" s="16"/>
      <c r="M81" s="16"/>
    </row>
    <row r="82" spans="1:13" s="17" customFormat="1" ht="33" hidden="1" outlineLevel="1" collapsed="1">
      <c r="A82" s="43"/>
      <c r="B82" s="49" t="s">
        <v>4</v>
      </c>
      <c r="C82" s="47">
        <f t="shared" si="9"/>
        <v>1000</v>
      </c>
      <c r="D82" s="50"/>
      <c r="E82" s="50"/>
      <c r="F82" s="50"/>
      <c r="G82" s="50"/>
      <c r="H82" s="50"/>
      <c r="I82" s="50"/>
      <c r="J82" s="52"/>
      <c r="K82" s="20"/>
      <c r="L82" s="16"/>
      <c r="M82" s="16"/>
    </row>
    <row r="83" spans="1:13" s="17" customFormat="1" ht="33" hidden="1" outlineLevel="1">
      <c r="A83" s="43"/>
      <c r="B83" s="49" t="s">
        <v>1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5</v>
      </c>
      <c r="C84" s="47">
        <f t="shared" si="9"/>
        <v>0</v>
      </c>
      <c r="D84" s="50">
        <f>300+220</f>
        <v>520</v>
      </c>
      <c r="E84" s="50">
        <f>320+150+110</f>
        <v>580</v>
      </c>
      <c r="F84" s="50">
        <f>2700</f>
        <v>2700</v>
      </c>
      <c r="G84" s="50">
        <f>750</f>
        <v>750</v>
      </c>
      <c r="H84" s="50">
        <f>260</f>
        <v>260</v>
      </c>
      <c r="I84" s="50">
        <v>260</v>
      </c>
      <c r="J84" s="52"/>
      <c r="K84" s="20"/>
      <c r="L84" s="16"/>
      <c r="M84" s="16"/>
    </row>
    <row r="85" spans="1:13" s="17" customFormat="1" ht="33" collapsed="1">
      <c r="A85" s="43">
        <v>16</v>
      </c>
      <c r="B85" s="53" t="s">
        <v>93</v>
      </c>
      <c r="C85" s="47">
        <f>SUM(D85:I85)</f>
        <v>1089.7662</v>
      </c>
      <c r="D85" s="47">
        <f>115.21+6.632+23.8772</f>
        <v>145.7192</v>
      </c>
      <c r="E85" s="47">
        <v>378.31</v>
      </c>
      <c r="F85" s="47">
        <v>148.224</v>
      </c>
      <c r="G85" s="47">
        <v>108.76</v>
      </c>
      <c r="H85" s="47">
        <v>108.753</v>
      </c>
      <c r="I85" s="47">
        <f>SUM(I92:I94)</f>
        <v>200</v>
      </c>
      <c r="J85" s="43">
        <v>12.27</v>
      </c>
      <c r="K85" s="20"/>
      <c r="L85" s="16"/>
      <c r="M85" s="16"/>
    </row>
    <row r="86" spans="1:13" s="17" customFormat="1" ht="132" hidden="1" outlineLevel="1">
      <c r="A86" s="43"/>
      <c r="B86" s="53" t="s">
        <v>48</v>
      </c>
      <c r="C86" s="47">
        <f t="shared" si="9"/>
        <v>3450</v>
      </c>
      <c r="D86" s="47">
        <f>600+130+1000+100</f>
        <v>1830</v>
      </c>
      <c r="E86" s="47"/>
      <c r="F86" s="47"/>
      <c r="G86" s="47"/>
      <c r="H86" s="47"/>
      <c r="I86" s="47"/>
      <c r="J86" s="52"/>
      <c r="K86" s="20"/>
      <c r="L86" s="16"/>
      <c r="M86" s="16"/>
    </row>
    <row r="87" spans="1:13" s="17" customFormat="1" ht="132" hidden="1" outlineLevel="1">
      <c r="A87" s="43"/>
      <c r="B87" s="53" t="s">
        <v>49</v>
      </c>
      <c r="C87" s="47">
        <f t="shared" si="9"/>
        <v>1421.17597</v>
      </c>
      <c r="D87" s="47"/>
      <c r="E87" s="47">
        <f>400+400+400+250+100</f>
        <v>1550</v>
      </c>
      <c r="F87" s="47"/>
      <c r="G87" s="47"/>
      <c r="H87" s="47"/>
      <c r="I87" s="47"/>
      <c r="J87" s="52"/>
      <c r="K87" s="20"/>
      <c r="L87" s="16"/>
      <c r="M87" s="16"/>
    </row>
    <row r="88" spans="1:13" s="17" customFormat="1" ht="33" hidden="1" outlineLevel="1">
      <c r="A88" s="43"/>
      <c r="B88" s="53" t="s">
        <v>50</v>
      </c>
      <c r="C88" s="47">
        <f t="shared" si="9"/>
        <v>3000</v>
      </c>
      <c r="D88" s="47"/>
      <c r="E88" s="47"/>
      <c r="F88" s="47">
        <v>400</v>
      </c>
      <c r="G88" s="47"/>
      <c r="H88" s="47"/>
      <c r="I88" s="47"/>
      <c r="J88" s="52"/>
      <c r="K88" s="20"/>
      <c r="L88" s="16"/>
      <c r="M88" s="16"/>
    </row>
    <row r="89" spans="1:13" s="17" customFormat="1" ht="66" hidden="1" outlineLevel="1">
      <c r="A89" s="43"/>
      <c r="B89" s="53" t="s">
        <v>51</v>
      </c>
      <c r="C89" s="47">
        <f t="shared" si="9"/>
        <v>2500</v>
      </c>
      <c r="D89" s="47"/>
      <c r="E89" s="47"/>
      <c r="F89" s="47"/>
      <c r="G89" s="47">
        <f>400+400</f>
        <v>800</v>
      </c>
      <c r="H89" s="47"/>
      <c r="I89" s="47"/>
      <c r="J89" s="52"/>
      <c r="K89" s="20"/>
      <c r="L89" s="16"/>
      <c r="M89" s="16"/>
    </row>
    <row r="90" spans="1:13" s="17" customFormat="1" ht="33" hidden="1" outlineLevel="1">
      <c r="A90" s="43"/>
      <c r="B90" s="53" t="s">
        <v>52</v>
      </c>
      <c r="C90" s="47">
        <f t="shared" si="9"/>
        <v>2500</v>
      </c>
      <c r="D90" s="47"/>
      <c r="E90" s="47"/>
      <c r="F90" s="47"/>
      <c r="G90" s="47"/>
      <c r="H90" s="47">
        <v>200</v>
      </c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2350</v>
      </c>
      <c r="D91" s="47"/>
      <c r="E91" s="47"/>
      <c r="F91" s="47"/>
      <c r="G91" s="47"/>
      <c r="H91" s="47"/>
      <c r="I91" s="47">
        <v>200</v>
      </c>
      <c r="J91" s="52"/>
      <c r="K91" s="20"/>
      <c r="L91" s="16"/>
      <c r="M91" s="16"/>
    </row>
    <row r="92" spans="1:13" s="17" customFormat="1" ht="33" hidden="1" outlineLevel="1" collapsed="1">
      <c r="A92" s="43"/>
      <c r="B92" s="49" t="s">
        <v>4</v>
      </c>
      <c r="C92" s="47">
        <f t="shared" si="9"/>
        <v>3500</v>
      </c>
      <c r="D92" s="50"/>
      <c r="E92" s="50"/>
      <c r="F92" s="50"/>
      <c r="G92" s="50"/>
      <c r="H92" s="50"/>
      <c r="I92" s="50"/>
      <c r="J92" s="52"/>
      <c r="K92" s="20"/>
      <c r="L92" s="16"/>
      <c r="M92" s="16"/>
    </row>
    <row r="93" spans="1:13" s="17" customFormat="1" ht="33" hidden="1" outlineLevel="1">
      <c r="A93" s="43"/>
      <c r="B93" s="49" t="s">
        <v>1</v>
      </c>
      <c r="C93" s="47">
        <f t="shared" si="9"/>
        <v>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5</v>
      </c>
      <c r="C94" s="47">
        <f t="shared" si="9"/>
        <v>0</v>
      </c>
      <c r="D94" s="50">
        <f>600+130+1000+100</f>
        <v>1830</v>
      </c>
      <c r="E94" s="50">
        <f>400+400+400+250+100</f>
        <v>1550</v>
      </c>
      <c r="F94" s="50">
        <f>400</f>
        <v>400</v>
      </c>
      <c r="G94" s="50">
        <f>400+400</f>
        <v>800</v>
      </c>
      <c r="H94" s="50">
        <f>200</f>
        <v>200</v>
      </c>
      <c r="I94" s="50">
        <f>200</f>
        <v>200</v>
      </c>
      <c r="J94" s="52"/>
      <c r="K94" s="20"/>
      <c r="L94" s="16"/>
      <c r="M94" s="16"/>
    </row>
    <row r="95" spans="1:13" s="17" customFormat="1" ht="36.75" customHeight="1" collapsed="1">
      <c r="A95" s="43">
        <v>17</v>
      </c>
      <c r="B95" s="53" t="s">
        <v>94</v>
      </c>
      <c r="C95" s="47">
        <f>SUM(D95:I95)</f>
        <v>2619.50312</v>
      </c>
      <c r="D95" s="47">
        <f>87.918+1.21612</f>
        <v>89.13412000000001</v>
      </c>
      <c r="E95" s="47">
        <v>1498.11</v>
      </c>
      <c r="F95" s="47">
        <f>81.073+563.043+126</f>
        <v>770.116</v>
      </c>
      <c r="G95" s="47">
        <v>81.07</v>
      </c>
      <c r="H95" s="47">
        <v>81.073</v>
      </c>
      <c r="I95" s="47">
        <f>SUM(I100:I102)</f>
        <v>100</v>
      </c>
      <c r="J95" s="43">
        <v>12.27</v>
      </c>
      <c r="K95" s="20"/>
      <c r="L95" s="16"/>
      <c r="M95" s="16"/>
    </row>
    <row r="96" spans="1:13" s="17" customFormat="1" ht="66" hidden="1" outlineLevel="1">
      <c r="A96" s="43"/>
      <c r="B96" s="53" t="s">
        <v>53</v>
      </c>
      <c r="C96" s="45">
        <f t="shared" si="9"/>
        <v>1914.75661</v>
      </c>
      <c r="D96" s="47">
        <v>500</v>
      </c>
      <c r="E96" s="47"/>
      <c r="F96" s="47"/>
      <c r="G96" s="47"/>
      <c r="H96" s="47"/>
      <c r="I96" s="47"/>
      <c r="J96" s="43"/>
      <c r="K96" s="20"/>
      <c r="L96" s="16"/>
      <c r="M96" s="16"/>
    </row>
    <row r="97" spans="1:13" s="17" customFormat="1" ht="33" hidden="1" outlineLevel="1">
      <c r="A97" s="43"/>
      <c r="B97" s="53" t="s">
        <v>54</v>
      </c>
      <c r="C97" s="45">
        <f t="shared" si="9"/>
        <v>520</v>
      </c>
      <c r="D97" s="47"/>
      <c r="E97" s="47">
        <v>500</v>
      </c>
      <c r="F97" s="47"/>
      <c r="G97" s="47"/>
      <c r="H97" s="47"/>
      <c r="I97" s="47"/>
      <c r="J97" s="43"/>
      <c r="K97" s="20"/>
      <c r="L97" s="16"/>
      <c r="M97" s="16"/>
    </row>
    <row r="98" spans="1:13" s="17" customFormat="1" ht="66" hidden="1" outlineLevel="1">
      <c r="A98" s="43"/>
      <c r="B98" s="53" t="s">
        <v>55</v>
      </c>
      <c r="C98" s="45">
        <f t="shared" si="9"/>
        <v>580</v>
      </c>
      <c r="D98" s="47"/>
      <c r="E98" s="47"/>
      <c r="F98" s="47">
        <v>1320</v>
      </c>
      <c r="G98" s="47"/>
      <c r="H98" s="47"/>
      <c r="I98" s="47"/>
      <c r="J98" s="43"/>
      <c r="K98" s="20"/>
      <c r="L98" s="16"/>
      <c r="M98" s="16"/>
    </row>
    <row r="99" spans="1:13" s="17" customFormat="1" ht="33" hidden="1" outlineLevel="1">
      <c r="A99" s="43"/>
      <c r="B99" s="53" t="s">
        <v>56</v>
      </c>
      <c r="C99" s="45">
        <f t="shared" si="9"/>
        <v>2700</v>
      </c>
      <c r="D99" s="47"/>
      <c r="E99" s="47"/>
      <c r="F99" s="47"/>
      <c r="G99" s="47">
        <v>700</v>
      </c>
      <c r="H99" s="47"/>
      <c r="I99" s="47"/>
      <c r="J99" s="43"/>
      <c r="K99" s="20"/>
      <c r="L99" s="16"/>
      <c r="M99" s="16"/>
    </row>
    <row r="100" spans="1:13" s="17" customFormat="1" ht="33" hidden="1" outlineLevel="1" collapsed="1">
      <c r="A100" s="43"/>
      <c r="B100" s="49" t="s">
        <v>4</v>
      </c>
      <c r="C100" s="45">
        <f t="shared" si="9"/>
        <v>750</v>
      </c>
      <c r="D100" s="50"/>
      <c r="E100" s="50"/>
      <c r="F100" s="50"/>
      <c r="G100" s="50"/>
      <c r="H100" s="50"/>
      <c r="I100" s="50"/>
      <c r="J100" s="43"/>
      <c r="K100" s="20"/>
      <c r="L100" s="16"/>
      <c r="M100" s="16"/>
    </row>
    <row r="101" spans="1:13" s="17" customFormat="1" ht="33" hidden="1" outlineLevel="1">
      <c r="A101" s="43"/>
      <c r="B101" s="49" t="s">
        <v>1</v>
      </c>
      <c r="C101" s="45">
        <f t="shared" si="9"/>
        <v>260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5</v>
      </c>
      <c r="C102" s="45">
        <f t="shared" si="9"/>
        <v>260</v>
      </c>
      <c r="D102" s="50">
        <f>500</f>
        <v>500</v>
      </c>
      <c r="E102" s="50">
        <f>500</f>
        <v>500</v>
      </c>
      <c r="F102" s="50">
        <f>1320</f>
        <v>1320</v>
      </c>
      <c r="G102" s="50">
        <f>700</f>
        <v>700</v>
      </c>
      <c r="H102" s="50">
        <v>100</v>
      </c>
      <c r="I102" s="50">
        <v>100</v>
      </c>
      <c r="J102" s="43"/>
      <c r="K102" s="20"/>
      <c r="L102" s="16"/>
      <c r="M102" s="16"/>
    </row>
    <row r="103" spans="1:13" s="11" customFormat="1" ht="408" customHeight="1" collapsed="1">
      <c r="A103" s="41">
        <v>18</v>
      </c>
      <c r="B103" s="44" t="s">
        <v>73</v>
      </c>
      <c r="C103" s="45">
        <f aca="true" t="shared" si="10" ref="C103:C111">SUM(D103:I103)</f>
        <v>7931.82198</v>
      </c>
      <c r="D103" s="45">
        <f aca="true" t="shared" si="11" ref="D103:I103">D104+D107+D110</f>
        <v>1251.00198</v>
      </c>
      <c r="E103" s="45">
        <f t="shared" si="11"/>
        <v>1275.5</v>
      </c>
      <c r="F103" s="45">
        <f>F104+F107+F110</f>
        <v>955.3199999999999</v>
      </c>
      <c r="G103" s="45">
        <f t="shared" si="11"/>
        <v>0</v>
      </c>
      <c r="H103" s="45">
        <f t="shared" si="11"/>
        <v>0</v>
      </c>
      <c r="I103" s="45">
        <f t="shared" si="11"/>
        <v>4450</v>
      </c>
      <c r="J103" s="41" t="s">
        <v>2</v>
      </c>
      <c r="K103" s="9"/>
      <c r="L103" s="10"/>
      <c r="M103" s="10"/>
    </row>
    <row r="104" spans="1:13" s="14" customFormat="1" ht="66">
      <c r="A104" s="43">
        <v>19</v>
      </c>
      <c r="B104" s="46" t="s">
        <v>99</v>
      </c>
      <c r="C104" s="47">
        <f t="shared" si="10"/>
        <v>200</v>
      </c>
      <c r="D104" s="47">
        <f>D116+D120+D124+D128+D132+D136+D140+D144</f>
        <v>0</v>
      </c>
      <c r="E104" s="47">
        <f>100+100</f>
        <v>200</v>
      </c>
      <c r="F104" s="47">
        <f>F116+F120+F124+F128+F132+F136+F140+F144</f>
        <v>0</v>
      </c>
      <c r="G104" s="47">
        <f>G116+G120+G124+G128+G132+G136+G140+G144</f>
        <v>0</v>
      </c>
      <c r="H104" s="47">
        <f>H116+H120+H124+H128+H132+H136+H140+H144</f>
        <v>0</v>
      </c>
      <c r="I104" s="47">
        <f>I116+I120+I124+I128+I132+I136+I140+I144</f>
        <v>0</v>
      </c>
      <c r="J104" s="43"/>
      <c r="K104" s="12"/>
      <c r="L104" s="13"/>
      <c r="M104" s="13"/>
    </row>
    <row r="105" spans="1:13" s="14" customFormat="1" ht="33">
      <c r="A105" s="43">
        <v>20</v>
      </c>
      <c r="B105" s="46" t="s">
        <v>70</v>
      </c>
      <c r="C105" s="47">
        <f t="shared" si="10"/>
        <v>100</v>
      </c>
      <c r="D105" s="47">
        <v>0</v>
      </c>
      <c r="E105" s="47">
        <v>100</v>
      </c>
      <c r="F105" s="47">
        <v>0</v>
      </c>
      <c r="G105" s="47">
        <f>SUM(G106:G109)</f>
        <v>0</v>
      </c>
      <c r="H105" s="47">
        <f>SUM(H106:H109)</f>
        <v>0</v>
      </c>
      <c r="I105" s="47">
        <f>SUM(I106:I109)</f>
        <v>0</v>
      </c>
      <c r="J105" s="43" t="s">
        <v>64</v>
      </c>
      <c r="K105" s="12"/>
      <c r="L105" s="13"/>
      <c r="M105" s="13"/>
    </row>
    <row r="106" spans="1:13" s="14" customFormat="1" ht="33" collapsed="1">
      <c r="A106" s="43">
        <v>21</v>
      </c>
      <c r="B106" s="46" t="s">
        <v>95</v>
      </c>
      <c r="C106" s="47">
        <f t="shared" si="10"/>
        <v>100</v>
      </c>
      <c r="D106" s="47">
        <v>0</v>
      </c>
      <c r="E106" s="47">
        <v>100</v>
      </c>
      <c r="F106" s="47">
        <v>0</v>
      </c>
      <c r="G106" s="47">
        <v>0</v>
      </c>
      <c r="H106" s="47">
        <v>0</v>
      </c>
      <c r="I106" s="47">
        <v>0</v>
      </c>
      <c r="J106" s="43" t="s">
        <v>67</v>
      </c>
      <c r="K106" s="12"/>
      <c r="L106" s="13"/>
      <c r="M106" s="13"/>
    </row>
    <row r="107" spans="1:13" s="14" customFormat="1" ht="66">
      <c r="A107" s="43">
        <v>22</v>
      </c>
      <c r="B107" s="46" t="s">
        <v>100</v>
      </c>
      <c r="C107" s="47">
        <f t="shared" si="10"/>
        <v>1287.58</v>
      </c>
      <c r="D107" s="47">
        <f>D108</f>
        <v>887.58</v>
      </c>
      <c r="E107" s="47">
        <v>400</v>
      </c>
      <c r="F107" s="47">
        <f>F117+F121+F125+F129+F133+F137+F141+F145</f>
        <v>0</v>
      </c>
      <c r="G107" s="47">
        <f>G117+G121+G125+G129+G133+G137+G141+G145</f>
        <v>0</v>
      </c>
      <c r="H107" s="47">
        <f>H117+H121+H125+H129+H133+H137+H141+H145</f>
        <v>0</v>
      </c>
      <c r="I107" s="47">
        <f>I117+I121+I125+I129+I133+I137+I141+I145</f>
        <v>0</v>
      </c>
      <c r="J107" s="43"/>
      <c r="K107" s="12"/>
      <c r="L107" s="13"/>
      <c r="M107" s="13"/>
    </row>
    <row r="108" spans="1:13" s="14" customFormat="1" ht="33" collapsed="1">
      <c r="A108" s="43">
        <v>23</v>
      </c>
      <c r="B108" s="46" t="s">
        <v>93</v>
      </c>
      <c r="C108" s="47">
        <f t="shared" si="10"/>
        <v>887.58</v>
      </c>
      <c r="D108" s="47">
        <v>887.58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3" t="s">
        <v>67</v>
      </c>
      <c r="K108" s="12"/>
      <c r="L108" s="13"/>
      <c r="M108" s="13"/>
    </row>
    <row r="109" spans="1:13" s="14" customFormat="1" ht="69.75" customHeight="1" collapsed="1">
      <c r="A109" s="43">
        <v>24</v>
      </c>
      <c r="B109" s="46" t="s">
        <v>12</v>
      </c>
      <c r="C109" s="47">
        <f t="shared" si="10"/>
        <v>400</v>
      </c>
      <c r="D109" s="47">
        <v>0</v>
      </c>
      <c r="E109" s="47">
        <v>400</v>
      </c>
      <c r="F109" s="47">
        <v>0</v>
      </c>
      <c r="G109" s="47">
        <v>0</v>
      </c>
      <c r="H109" s="47">
        <v>0</v>
      </c>
      <c r="I109" s="47">
        <v>0</v>
      </c>
      <c r="J109" s="43" t="s">
        <v>66</v>
      </c>
      <c r="K109" s="12"/>
      <c r="L109" s="13"/>
      <c r="M109" s="13"/>
    </row>
    <row r="110" spans="1:13" s="14" customFormat="1" ht="66">
      <c r="A110" s="43">
        <v>25</v>
      </c>
      <c r="B110" s="46" t="s">
        <v>74</v>
      </c>
      <c r="C110" s="47">
        <f t="shared" si="10"/>
        <v>6444.24198</v>
      </c>
      <c r="D110" s="47">
        <f aca="true" t="shared" si="12" ref="D110:I110">D111+D115+D119+D123+D127+D131+D135+D139+D143</f>
        <v>363.42198</v>
      </c>
      <c r="E110" s="47">
        <f t="shared" si="12"/>
        <v>675.5</v>
      </c>
      <c r="F110" s="47">
        <f t="shared" si="12"/>
        <v>955.3199999999999</v>
      </c>
      <c r="G110" s="47">
        <f t="shared" si="12"/>
        <v>0</v>
      </c>
      <c r="H110" s="47">
        <f t="shared" si="12"/>
        <v>0</v>
      </c>
      <c r="I110" s="47">
        <f t="shared" si="12"/>
        <v>4450</v>
      </c>
      <c r="J110" s="43"/>
      <c r="K110" s="12"/>
      <c r="L110" s="13"/>
      <c r="M110" s="13"/>
    </row>
    <row r="111" spans="1:13" s="14" customFormat="1" ht="33">
      <c r="A111" s="43">
        <v>26</v>
      </c>
      <c r="B111" s="46" t="s">
        <v>70</v>
      </c>
      <c r="C111" s="47">
        <f t="shared" si="10"/>
        <v>2060</v>
      </c>
      <c r="D111" s="47">
        <v>70</v>
      </c>
      <c r="E111" s="47">
        <v>200</v>
      </c>
      <c r="F111" s="47">
        <f>600+75+85+30</f>
        <v>790</v>
      </c>
      <c r="G111" s="47">
        <v>0</v>
      </c>
      <c r="H111" s="47">
        <v>0</v>
      </c>
      <c r="I111" s="47">
        <f>SUM(I112:I114)</f>
        <v>1000</v>
      </c>
      <c r="J111" s="43" t="s">
        <v>64</v>
      </c>
      <c r="K111" s="12"/>
      <c r="L111" s="13"/>
      <c r="M111" s="13"/>
    </row>
    <row r="112" spans="1:13" s="14" customFormat="1" ht="33" hidden="1" outlineLevel="1">
      <c r="A112" s="43"/>
      <c r="B112" s="46" t="s">
        <v>4</v>
      </c>
      <c r="C112" s="47">
        <f aca="true" t="shared" si="13" ref="C112:C146">SUM(D112:I112)</f>
        <v>0</v>
      </c>
      <c r="D112" s="47"/>
      <c r="E112" s="47">
        <v>0</v>
      </c>
      <c r="F112" s="47"/>
      <c r="G112" s="47"/>
      <c r="H112" s="47"/>
      <c r="I112" s="47"/>
      <c r="J112" s="43"/>
      <c r="K112" s="12"/>
      <c r="L112" s="13"/>
      <c r="M112" s="13"/>
    </row>
    <row r="113" spans="1:13" s="14" customFormat="1" ht="33" hidden="1" outlineLevel="1">
      <c r="A113" s="43"/>
      <c r="B113" s="46" t="s">
        <v>1</v>
      </c>
      <c r="C113" s="47">
        <f t="shared" si="13"/>
        <v>0</v>
      </c>
      <c r="D113" s="47"/>
      <c r="E113" s="47"/>
      <c r="F113" s="47"/>
      <c r="G113" s="47"/>
      <c r="H113" s="47"/>
      <c r="I113" s="47"/>
      <c r="J113" s="43"/>
      <c r="K113" s="12"/>
      <c r="L113" s="13"/>
      <c r="M113" s="13"/>
    </row>
    <row r="114" spans="1:13" s="14" customFormat="1" ht="33" hidden="1" outlineLevel="1">
      <c r="A114" s="43"/>
      <c r="B114" s="46" t="s">
        <v>5</v>
      </c>
      <c r="C114" s="47">
        <f t="shared" si="13"/>
        <v>5050</v>
      </c>
      <c r="D114" s="47">
        <v>550</v>
      </c>
      <c r="E114" s="47">
        <f>600+500</f>
        <v>1100</v>
      </c>
      <c r="F114" s="47">
        <v>700</v>
      </c>
      <c r="G114" s="47">
        <v>800</v>
      </c>
      <c r="H114" s="47">
        <v>900</v>
      </c>
      <c r="I114" s="47">
        <v>1000</v>
      </c>
      <c r="J114" s="43"/>
      <c r="K114" s="12"/>
      <c r="L114" s="13"/>
      <c r="M114" s="13"/>
    </row>
    <row r="115" spans="1:13" s="14" customFormat="1" ht="66" collapsed="1">
      <c r="A115" s="43">
        <v>27</v>
      </c>
      <c r="B115" s="46" t="s">
        <v>71</v>
      </c>
      <c r="C115" s="47">
        <f t="shared" si="13"/>
        <v>1061.859</v>
      </c>
      <c r="D115" s="47">
        <f>120-6-52.141</f>
        <v>61.859</v>
      </c>
      <c r="E115" s="47">
        <v>0</v>
      </c>
      <c r="F115" s="47">
        <v>0</v>
      </c>
      <c r="G115" s="47">
        <v>0</v>
      </c>
      <c r="H115" s="47">
        <v>0</v>
      </c>
      <c r="I115" s="47">
        <f>SUM(I116:I118)</f>
        <v>1000</v>
      </c>
      <c r="J115" s="43" t="s">
        <v>65</v>
      </c>
      <c r="K115" s="12"/>
      <c r="L115" s="13"/>
      <c r="M115" s="13"/>
    </row>
    <row r="116" spans="1:13" s="14" customFormat="1" ht="33" hidden="1" outlineLevel="1">
      <c r="A116" s="43"/>
      <c r="B116" s="46" t="s">
        <v>4</v>
      </c>
      <c r="C116" s="47">
        <f t="shared" si="13"/>
        <v>0</v>
      </c>
      <c r="D116" s="47"/>
      <c r="E116" s="47"/>
      <c r="F116" s="47"/>
      <c r="G116" s="47"/>
      <c r="H116" s="47"/>
      <c r="I116" s="47"/>
      <c r="J116" s="43"/>
      <c r="K116" s="12"/>
      <c r="L116" s="13"/>
      <c r="M116" s="13"/>
    </row>
    <row r="117" spans="1:13" s="14" customFormat="1" ht="33" hidden="1" outlineLevel="1">
      <c r="A117" s="43"/>
      <c r="B117" s="46" t="s">
        <v>1</v>
      </c>
      <c r="C117" s="47">
        <f t="shared" si="13"/>
        <v>0</v>
      </c>
      <c r="D117" s="47"/>
      <c r="E117" s="47"/>
      <c r="F117" s="47"/>
      <c r="G117" s="47"/>
      <c r="H117" s="47"/>
      <c r="I117" s="47"/>
      <c r="J117" s="43"/>
      <c r="K117" s="12"/>
      <c r="L117" s="13"/>
      <c r="M117" s="13"/>
    </row>
    <row r="118" spans="1:13" s="14" customFormat="1" ht="33" hidden="1" outlineLevel="1">
      <c r="A118" s="43"/>
      <c r="B118" s="46" t="s">
        <v>5</v>
      </c>
      <c r="C118" s="47">
        <f t="shared" si="13"/>
        <v>4550</v>
      </c>
      <c r="D118" s="47">
        <v>550</v>
      </c>
      <c r="E118" s="47">
        <v>600</v>
      </c>
      <c r="F118" s="47">
        <v>700</v>
      </c>
      <c r="G118" s="47">
        <v>800</v>
      </c>
      <c r="H118" s="47">
        <v>900</v>
      </c>
      <c r="I118" s="47">
        <v>1000</v>
      </c>
      <c r="J118" s="43"/>
      <c r="K118" s="12"/>
      <c r="L118" s="13"/>
      <c r="M118" s="13"/>
    </row>
    <row r="119" spans="1:13" s="14" customFormat="1" ht="33" collapsed="1">
      <c r="A119" s="43">
        <v>28</v>
      </c>
      <c r="B119" s="46" t="s">
        <v>97</v>
      </c>
      <c r="C119" s="47">
        <f t="shared" si="13"/>
        <v>400</v>
      </c>
      <c r="D119" s="47">
        <v>0</v>
      </c>
      <c r="E119" s="47">
        <v>50</v>
      </c>
      <c r="F119" s="47">
        <v>0</v>
      </c>
      <c r="G119" s="47">
        <v>0</v>
      </c>
      <c r="H119" s="47">
        <v>0</v>
      </c>
      <c r="I119" s="47">
        <f>SUM(I120:I122)</f>
        <v>350</v>
      </c>
      <c r="J119" s="43" t="s">
        <v>64</v>
      </c>
      <c r="K119" s="12"/>
      <c r="L119" s="13"/>
      <c r="M119" s="13"/>
    </row>
    <row r="120" spans="1:13" s="14" customFormat="1" ht="33" hidden="1" outlineLevel="1">
      <c r="A120" s="43"/>
      <c r="B120" s="46" t="s">
        <v>4</v>
      </c>
      <c r="C120" s="47">
        <f t="shared" si="13"/>
        <v>0</v>
      </c>
      <c r="D120" s="47"/>
      <c r="E120" s="47"/>
      <c r="F120" s="47"/>
      <c r="G120" s="47"/>
      <c r="H120" s="47"/>
      <c r="I120" s="47"/>
      <c r="J120" s="43"/>
      <c r="K120" s="12"/>
      <c r="L120" s="13"/>
      <c r="M120" s="13"/>
    </row>
    <row r="121" spans="1:13" s="14" customFormat="1" ht="33" hidden="1" outlineLevel="1">
      <c r="A121" s="43"/>
      <c r="B121" s="46" t="s">
        <v>1</v>
      </c>
      <c r="C121" s="47">
        <f t="shared" si="13"/>
        <v>0</v>
      </c>
      <c r="D121" s="47"/>
      <c r="E121" s="47"/>
      <c r="F121" s="47"/>
      <c r="G121" s="47"/>
      <c r="H121" s="47"/>
      <c r="I121" s="47"/>
      <c r="J121" s="43"/>
      <c r="K121" s="12"/>
      <c r="L121" s="13"/>
      <c r="M121" s="13"/>
    </row>
    <row r="122" spans="1:13" s="14" customFormat="1" ht="33" hidden="1" outlineLevel="1">
      <c r="A122" s="43"/>
      <c r="B122" s="46" t="s">
        <v>5</v>
      </c>
      <c r="C122" s="47">
        <f t="shared" si="13"/>
        <v>4950</v>
      </c>
      <c r="D122" s="47">
        <v>2000</v>
      </c>
      <c r="E122" s="47">
        <v>350</v>
      </c>
      <c r="F122" s="47">
        <v>350</v>
      </c>
      <c r="G122" s="47">
        <v>950</v>
      </c>
      <c r="H122" s="47">
        <v>950</v>
      </c>
      <c r="I122" s="47">
        <v>350</v>
      </c>
      <c r="J122" s="43"/>
      <c r="K122" s="12"/>
      <c r="L122" s="13"/>
      <c r="M122" s="13"/>
    </row>
    <row r="123" spans="1:13" s="14" customFormat="1" ht="33" collapsed="1">
      <c r="A123" s="43">
        <v>29</v>
      </c>
      <c r="B123" s="46" t="s">
        <v>9</v>
      </c>
      <c r="C123" s="47">
        <f t="shared" si="13"/>
        <v>328</v>
      </c>
      <c r="D123" s="47">
        <v>0</v>
      </c>
      <c r="E123" s="47">
        <v>0</v>
      </c>
      <c r="F123" s="47">
        <v>28</v>
      </c>
      <c r="G123" s="47">
        <v>0</v>
      </c>
      <c r="H123" s="47">
        <v>0</v>
      </c>
      <c r="I123" s="47">
        <f>SUM(I124:I126)</f>
        <v>300</v>
      </c>
      <c r="J123" s="43" t="s">
        <v>64</v>
      </c>
      <c r="K123" s="12"/>
      <c r="L123" s="13"/>
      <c r="M123" s="13"/>
    </row>
    <row r="124" spans="1:13" s="14" customFormat="1" ht="33" hidden="1" outlineLevel="1">
      <c r="A124" s="43"/>
      <c r="B124" s="46" t="s">
        <v>4</v>
      </c>
      <c r="C124" s="47">
        <f t="shared" si="13"/>
        <v>0</v>
      </c>
      <c r="D124" s="47"/>
      <c r="E124" s="47"/>
      <c r="F124" s="47"/>
      <c r="G124" s="47"/>
      <c r="H124" s="47"/>
      <c r="I124" s="47"/>
      <c r="J124" s="43"/>
      <c r="K124" s="12"/>
      <c r="L124" s="13"/>
      <c r="M124" s="13"/>
    </row>
    <row r="125" spans="1:13" s="14" customFormat="1" ht="33" hidden="1" outlineLevel="1">
      <c r="A125" s="43"/>
      <c r="B125" s="46" t="s">
        <v>1</v>
      </c>
      <c r="C125" s="47">
        <f t="shared" si="13"/>
        <v>0</v>
      </c>
      <c r="D125" s="47"/>
      <c r="E125" s="47"/>
      <c r="F125" s="47"/>
      <c r="G125" s="47"/>
      <c r="H125" s="47"/>
      <c r="I125" s="47"/>
      <c r="J125" s="43"/>
      <c r="K125" s="12"/>
      <c r="L125" s="13"/>
      <c r="M125" s="13"/>
    </row>
    <row r="126" spans="1:13" s="14" customFormat="1" ht="33" hidden="1" outlineLevel="1">
      <c r="A126" s="43"/>
      <c r="B126" s="46" t="s">
        <v>5</v>
      </c>
      <c r="C126" s="47">
        <f t="shared" si="13"/>
        <v>2950</v>
      </c>
      <c r="D126" s="47">
        <v>250</v>
      </c>
      <c r="E126" s="47">
        <v>300</v>
      </c>
      <c r="F126" s="47">
        <v>300</v>
      </c>
      <c r="G126" s="47">
        <v>900</v>
      </c>
      <c r="H126" s="47">
        <v>900</v>
      </c>
      <c r="I126" s="47">
        <v>300</v>
      </c>
      <c r="J126" s="43"/>
      <c r="K126" s="12"/>
      <c r="L126" s="13"/>
      <c r="M126" s="13"/>
    </row>
    <row r="127" spans="1:13" s="14" customFormat="1" ht="33" collapsed="1">
      <c r="A127" s="43">
        <v>30</v>
      </c>
      <c r="B127" s="46" t="s">
        <v>10</v>
      </c>
      <c r="C127" s="47">
        <f t="shared" si="13"/>
        <v>500</v>
      </c>
      <c r="D127" s="47">
        <v>200</v>
      </c>
      <c r="E127" s="47">
        <v>0</v>
      </c>
      <c r="F127" s="47">
        <v>0</v>
      </c>
      <c r="G127" s="47">
        <v>0</v>
      </c>
      <c r="H127" s="47">
        <v>0</v>
      </c>
      <c r="I127" s="47">
        <f>SUM(I128:I130)</f>
        <v>300</v>
      </c>
      <c r="J127" s="43" t="s">
        <v>64</v>
      </c>
      <c r="K127" s="12"/>
      <c r="L127" s="13"/>
      <c r="M127" s="13"/>
    </row>
    <row r="128" spans="1:13" s="14" customFormat="1" ht="33" hidden="1" outlineLevel="1">
      <c r="A128" s="43"/>
      <c r="B128" s="46" t="s">
        <v>4</v>
      </c>
      <c r="C128" s="47">
        <f t="shared" si="13"/>
        <v>0</v>
      </c>
      <c r="D128" s="47"/>
      <c r="E128" s="47"/>
      <c r="F128" s="47"/>
      <c r="G128" s="47"/>
      <c r="H128" s="47"/>
      <c r="I128" s="47"/>
      <c r="J128" s="43"/>
      <c r="K128" s="12"/>
      <c r="L128" s="13"/>
      <c r="M128" s="13"/>
    </row>
    <row r="129" spans="1:13" s="14" customFormat="1" ht="33" hidden="1" outlineLevel="1">
      <c r="A129" s="43"/>
      <c r="B129" s="46" t="s">
        <v>1</v>
      </c>
      <c r="C129" s="47">
        <f t="shared" si="13"/>
        <v>0</v>
      </c>
      <c r="D129" s="47"/>
      <c r="E129" s="47"/>
      <c r="F129" s="47"/>
      <c r="G129" s="47"/>
      <c r="H129" s="47"/>
      <c r="I129" s="47"/>
      <c r="J129" s="43"/>
      <c r="K129" s="12"/>
      <c r="L129" s="13"/>
      <c r="M129" s="13"/>
    </row>
    <row r="130" spans="1:13" s="14" customFormat="1" ht="33" hidden="1" outlineLevel="1">
      <c r="A130" s="43"/>
      <c r="B130" s="46" t="s">
        <v>5</v>
      </c>
      <c r="C130" s="47">
        <f t="shared" si="13"/>
        <v>4550</v>
      </c>
      <c r="D130" s="47">
        <v>550</v>
      </c>
      <c r="E130" s="47">
        <f>300+2500</f>
        <v>2800</v>
      </c>
      <c r="F130" s="47">
        <v>300</v>
      </c>
      <c r="G130" s="47">
        <v>300</v>
      </c>
      <c r="H130" s="47">
        <v>300</v>
      </c>
      <c r="I130" s="47">
        <v>300</v>
      </c>
      <c r="J130" s="43"/>
      <c r="K130" s="12"/>
      <c r="L130" s="13"/>
      <c r="M130" s="13"/>
    </row>
    <row r="131" spans="1:13" s="14" customFormat="1" ht="33" collapsed="1">
      <c r="A131" s="43">
        <v>31</v>
      </c>
      <c r="B131" s="46" t="s">
        <v>11</v>
      </c>
      <c r="C131" s="47">
        <f t="shared" si="13"/>
        <v>630</v>
      </c>
      <c r="D131" s="47">
        <v>0</v>
      </c>
      <c r="E131" s="47">
        <v>230</v>
      </c>
      <c r="F131" s="47">
        <v>0</v>
      </c>
      <c r="G131" s="47">
        <v>0</v>
      </c>
      <c r="H131" s="47">
        <v>0</v>
      </c>
      <c r="I131" s="47">
        <f>SUM(I132:I134)</f>
        <v>400</v>
      </c>
      <c r="J131" s="43" t="s">
        <v>64</v>
      </c>
      <c r="K131" s="12"/>
      <c r="L131" s="13"/>
      <c r="M131" s="13"/>
    </row>
    <row r="132" spans="1:13" s="14" customFormat="1" ht="33" hidden="1" outlineLevel="1">
      <c r="A132" s="43"/>
      <c r="B132" s="46" t="s">
        <v>4</v>
      </c>
      <c r="C132" s="47">
        <f t="shared" si="13"/>
        <v>0</v>
      </c>
      <c r="D132" s="47"/>
      <c r="E132" s="47"/>
      <c r="F132" s="47"/>
      <c r="G132" s="47"/>
      <c r="H132" s="47"/>
      <c r="I132" s="47"/>
      <c r="J132" s="43"/>
      <c r="K132" s="12"/>
      <c r="L132" s="13"/>
      <c r="M132" s="13"/>
    </row>
    <row r="133" spans="1:13" s="14" customFormat="1" ht="33" hidden="1" outlineLevel="1">
      <c r="A133" s="43"/>
      <c r="B133" s="46" t="s">
        <v>1</v>
      </c>
      <c r="C133" s="47">
        <f t="shared" si="13"/>
        <v>0</v>
      </c>
      <c r="D133" s="47"/>
      <c r="E133" s="47"/>
      <c r="F133" s="47"/>
      <c r="G133" s="47"/>
      <c r="H133" s="47"/>
      <c r="I133" s="47"/>
      <c r="J133" s="43"/>
      <c r="K133" s="12"/>
      <c r="L133" s="13"/>
      <c r="M133" s="13"/>
    </row>
    <row r="134" spans="1:13" s="14" customFormat="1" ht="33" hidden="1" outlineLevel="1">
      <c r="A134" s="43"/>
      <c r="B134" s="46" t="s">
        <v>5</v>
      </c>
      <c r="C134" s="47">
        <f t="shared" si="13"/>
        <v>2350</v>
      </c>
      <c r="D134" s="47">
        <v>350</v>
      </c>
      <c r="E134" s="47">
        <v>400</v>
      </c>
      <c r="F134" s="47">
        <v>400</v>
      </c>
      <c r="G134" s="47">
        <v>400</v>
      </c>
      <c r="H134" s="47">
        <v>400</v>
      </c>
      <c r="I134" s="47">
        <v>400</v>
      </c>
      <c r="J134" s="43"/>
      <c r="K134" s="12"/>
      <c r="L134" s="13"/>
      <c r="M134" s="13"/>
    </row>
    <row r="135" spans="1:13" s="14" customFormat="1" ht="69.75" customHeight="1" collapsed="1">
      <c r="A135" s="43">
        <v>32</v>
      </c>
      <c r="B135" s="46" t="s">
        <v>12</v>
      </c>
      <c r="C135" s="47">
        <f t="shared" si="13"/>
        <v>537.3199999999999</v>
      </c>
      <c r="D135" s="47">
        <v>0</v>
      </c>
      <c r="E135" s="47">
        <v>0</v>
      </c>
      <c r="F135" s="47">
        <v>137.32</v>
      </c>
      <c r="G135" s="47">
        <v>0</v>
      </c>
      <c r="H135" s="47">
        <v>0</v>
      </c>
      <c r="I135" s="47">
        <f>SUM(I136:I138)</f>
        <v>400</v>
      </c>
      <c r="J135" s="43" t="s">
        <v>66</v>
      </c>
      <c r="K135" s="12"/>
      <c r="L135" s="13"/>
      <c r="M135" s="13"/>
    </row>
    <row r="136" spans="1:13" s="14" customFormat="1" ht="33" hidden="1" outlineLevel="1">
      <c r="A136" s="43"/>
      <c r="B136" s="46" t="s">
        <v>4</v>
      </c>
      <c r="C136" s="47">
        <f t="shared" si="13"/>
        <v>0</v>
      </c>
      <c r="D136" s="47"/>
      <c r="E136" s="47"/>
      <c r="F136" s="47"/>
      <c r="G136" s="47"/>
      <c r="H136" s="47"/>
      <c r="I136" s="47"/>
      <c r="J136" s="43"/>
      <c r="K136" s="12"/>
      <c r="L136" s="13"/>
      <c r="M136" s="13"/>
    </row>
    <row r="137" spans="1:13" s="14" customFormat="1" ht="33" hidden="1" outlineLevel="1">
      <c r="A137" s="43"/>
      <c r="B137" s="46" t="s">
        <v>1</v>
      </c>
      <c r="C137" s="47">
        <f t="shared" si="13"/>
        <v>0</v>
      </c>
      <c r="D137" s="47"/>
      <c r="E137" s="47">
        <v>0</v>
      </c>
      <c r="F137" s="47"/>
      <c r="G137" s="47"/>
      <c r="H137" s="47"/>
      <c r="I137" s="47"/>
      <c r="J137" s="43"/>
      <c r="K137" s="12"/>
      <c r="L137" s="13"/>
      <c r="M137" s="13"/>
    </row>
    <row r="138" spans="1:13" s="14" customFormat="1" ht="33" hidden="1" outlineLevel="1">
      <c r="A138" s="43"/>
      <c r="B138" s="46" t="s">
        <v>5</v>
      </c>
      <c r="C138" s="47">
        <f t="shared" si="13"/>
        <v>1950</v>
      </c>
      <c r="D138" s="47">
        <v>350</v>
      </c>
      <c r="E138" s="47">
        <v>0</v>
      </c>
      <c r="F138" s="47">
        <v>400</v>
      </c>
      <c r="G138" s="47">
        <v>400</v>
      </c>
      <c r="H138" s="47">
        <v>400</v>
      </c>
      <c r="I138" s="47">
        <v>400</v>
      </c>
      <c r="J138" s="43"/>
      <c r="K138" s="12"/>
      <c r="L138" s="13"/>
      <c r="M138" s="13"/>
    </row>
    <row r="139" spans="1:13" s="14" customFormat="1" ht="33" collapsed="1">
      <c r="A139" s="43">
        <v>33</v>
      </c>
      <c r="B139" s="46" t="s">
        <v>93</v>
      </c>
      <c r="C139" s="47">
        <f>SUM(D139:I139)</f>
        <v>431.56298</v>
      </c>
      <c r="D139" s="47">
        <f>D141+D142</f>
        <v>31.56298</v>
      </c>
      <c r="E139" s="47">
        <v>0</v>
      </c>
      <c r="F139" s="47">
        <v>0</v>
      </c>
      <c r="G139" s="47">
        <v>0</v>
      </c>
      <c r="H139" s="47">
        <v>0</v>
      </c>
      <c r="I139" s="47">
        <f>SUM(I140:I142)</f>
        <v>400</v>
      </c>
      <c r="J139" s="43" t="s">
        <v>67</v>
      </c>
      <c r="K139" s="12"/>
      <c r="L139" s="13"/>
      <c r="M139" s="13"/>
    </row>
    <row r="140" spans="1:13" s="14" customFormat="1" ht="33" hidden="1" outlineLevel="1">
      <c r="A140" s="43"/>
      <c r="B140" s="46" t="s">
        <v>4</v>
      </c>
      <c r="C140" s="47">
        <f t="shared" si="13"/>
        <v>0</v>
      </c>
      <c r="D140" s="47"/>
      <c r="E140" s="47"/>
      <c r="F140" s="47"/>
      <c r="G140" s="47"/>
      <c r="H140" s="47"/>
      <c r="I140" s="47"/>
      <c r="J140" s="43"/>
      <c r="K140" s="12"/>
      <c r="L140" s="13"/>
      <c r="M140" s="13"/>
    </row>
    <row r="141" spans="1:13" s="14" customFormat="1" ht="33" hidden="1" outlineLevel="1">
      <c r="A141" s="43"/>
      <c r="B141" s="46" t="s">
        <v>1</v>
      </c>
      <c r="C141" s="47">
        <f t="shared" si="13"/>
        <v>0</v>
      </c>
      <c r="D141" s="47">
        <v>0</v>
      </c>
      <c r="E141" s="47"/>
      <c r="F141" s="47"/>
      <c r="G141" s="47"/>
      <c r="H141" s="47"/>
      <c r="I141" s="47"/>
      <c r="J141" s="43"/>
      <c r="K141" s="12"/>
      <c r="L141" s="13"/>
      <c r="M141" s="13"/>
    </row>
    <row r="142" spans="1:13" s="14" customFormat="1" ht="33" hidden="1" outlineLevel="1">
      <c r="A142" s="43"/>
      <c r="B142" s="46" t="s">
        <v>5</v>
      </c>
      <c r="C142" s="47">
        <f>SUM(D142:I142)</f>
        <v>2031.56298</v>
      </c>
      <c r="D142" s="47">
        <v>31.56298</v>
      </c>
      <c r="E142" s="47">
        <v>400</v>
      </c>
      <c r="F142" s="47">
        <v>400</v>
      </c>
      <c r="G142" s="47">
        <v>400</v>
      </c>
      <c r="H142" s="47">
        <v>400</v>
      </c>
      <c r="I142" s="47">
        <v>400</v>
      </c>
      <c r="J142" s="43"/>
      <c r="K142" s="12"/>
      <c r="L142" s="13"/>
      <c r="M142" s="13"/>
    </row>
    <row r="143" spans="1:13" s="14" customFormat="1" ht="33" collapsed="1">
      <c r="A143" s="43">
        <v>34</v>
      </c>
      <c r="B143" s="46" t="s">
        <v>95</v>
      </c>
      <c r="C143" s="47">
        <f t="shared" si="13"/>
        <v>495.5</v>
      </c>
      <c r="D143" s="47">
        <v>0</v>
      </c>
      <c r="E143" s="47">
        <v>195.5</v>
      </c>
      <c r="F143" s="47">
        <v>0</v>
      </c>
      <c r="G143" s="47">
        <v>0</v>
      </c>
      <c r="H143" s="47">
        <v>0</v>
      </c>
      <c r="I143" s="47">
        <f>SUM(I144:I146)</f>
        <v>300</v>
      </c>
      <c r="J143" s="43" t="s">
        <v>67</v>
      </c>
      <c r="K143" s="12"/>
      <c r="L143" s="13"/>
      <c r="M143" s="13"/>
    </row>
    <row r="144" spans="1:13" s="14" customFormat="1" ht="33" hidden="1" outlineLevel="1">
      <c r="A144" s="41"/>
      <c r="B144" s="44" t="s">
        <v>4</v>
      </c>
      <c r="C144" s="45">
        <f t="shared" si="13"/>
        <v>100</v>
      </c>
      <c r="D144" s="45"/>
      <c r="E144" s="45">
        <v>100</v>
      </c>
      <c r="F144" s="45"/>
      <c r="G144" s="45"/>
      <c r="H144" s="45"/>
      <c r="I144" s="45"/>
      <c r="J144" s="41"/>
      <c r="K144" s="12"/>
      <c r="L144" s="13"/>
      <c r="M144" s="13"/>
    </row>
    <row r="145" spans="1:13" s="14" customFormat="1" ht="33" hidden="1" outlineLevel="1">
      <c r="A145" s="41"/>
      <c r="B145" s="44" t="s">
        <v>1</v>
      </c>
      <c r="C145" s="45">
        <f t="shared" si="13"/>
        <v>0</v>
      </c>
      <c r="D145" s="45"/>
      <c r="E145" s="45"/>
      <c r="F145" s="45"/>
      <c r="G145" s="45"/>
      <c r="H145" s="45"/>
      <c r="I145" s="45"/>
      <c r="J145" s="41"/>
      <c r="K145" s="12"/>
      <c r="L145" s="13"/>
      <c r="M145" s="13"/>
    </row>
    <row r="146" spans="1:13" s="14" customFormat="1" ht="33" hidden="1" outlineLevel="1">
      <c r="A146" s="41"/>
      <c r="B146" s="44" t="s">
        <v>5</v>
      </c>
      <c r="C146" s="45">
        <f t="shared" si="13"/>
        <v>1750</v>
      </c>
      <c r="D146" s="45">
        <v>250</v>
      </c>
      <c r="E146" s="45">
        <v>300</v>
      </c>
      <c r="F146" s="45">
        <v>300</v>
      </c>
      <c r="G146" s="45">
        <v>300</v>
      </c>
      <c r="H146" s="45">
        <v>300</v>
      </c>
      <c r="I146" s="45">
        <v>300</v>
      </c>
      <c r="J146" s="41"/>
      <c r="K146" s="12"/>
      <c r="L146" s="13"/>
      <c r="M146" s="13"/>
    </row>
    <row r="147" spans="1:13" s="11" customFormat="1" ht="231.75" customHeight="1" collapsed="1">
      <c r="A147" s="41">
        <v>35</v>
      </c>
      <c r="B147" s="44" t="s">
        <v>81</v>
      </c>
      <c r="C147" s="45">
        <f>SUM(D147:I147)</f>
        <v>598400.9919</v>
      </c>
      <c r="D147" s="45">
        <f aca="true" t="shared" si="14" ref="D147:I147">D148+D149+D150</f>
        <v>64833.28670000001</v>
      </c>
      <c r="E147" s="45">
        <f t="shared" si="14"/>
        <v>65721.54</v>
      </c>
      <c r="F147" s="45">
        <f t="shared" si="14"/>
        <v>88700.45300000001</v>
      </c>
      <c r="G147" s="45">
        <f t="shared" si="14"/>
        <v>88447.413</v>
      </c>
      <c r="H147" s="45">
        <f t="shared" si="14"/>
        <v>88306.3892</v>
      </c>
      <c r="I147" s="45">
        <f t="shared" si="14"/>
        <v>202391.91000000003</v>
      </c>
      <c r="J147" s="41" t="s">
        <v>2</v>
      </c>
      <c r="K147" s="9"/>
      <c r="L147" s="10"/>
      <c r="M147" s="10"/>
    </row>
    <row r="148" spans="1:13" s="14" customFormat="1" ht="33">
      <c r="A148" s="43">
        <v>36</v>
      </c>
      <c r="B148" s="46" t="s">
        <v>4</v>
      </c>
      <c r="C148" s="47">
        <f>SUM(D148:I148)</f>
        <v>0</v>
      </c>
      <c r="D148" s="47">
        <f aca="true" t="shared" si="15" ref="D148:I149">D152+D156+D160+D164+D168+D172+D176+D179</f>
        <v>0</v>
      </c>
      <c r="E148" s="47">
        <f t="shared" si="15"/>
        <v>0</v>
      </c>
      <c r="F148" s="47">
        <f t="shared" si="15"/>
        <v>0</v>
      </c>
      <c r="G148" s="47">
        <f t="shared" si="15"/>
        <v>0</v>
      </c>
      <c r="H148" s="47">
        <f t="shared" si="15"/>
        <v>0</v>
      </c>
      <c r="I148" s="47">
        <f t="shared" si="15"/>
        <v>0</v>
      </c>
      <c r="J148" s="41"/>
      <c r="K148" s="12"/>
      <c r="L148" s="13"/>
      <c r="M148" s="13"/>
    </row>
    <row r="149" spans="1:13" s="14" customFormat="1" ht="33">
      <c r="A149" s="43">
        <v>37</v>
      </c>
      <c r="B149" s="46" t="s">
        <v>1</v>
      </c>
      <c r="C149" s="47">
        <f>SUM(D149:I149)</f>
        <v>0</v>
      </c>
      <c r="D149" s="47">
        <f t="shared" si="15"/>
        <v>0</v>
      </c>
      <c r="E149" s="47">
        <f t="shared" si="15"/>
        <v>0</v>
      </c>
      <c r="F149" s="47">
        <f t="shared" si="15"/>
        <v>0</v>
      </c>
      <c r="G149" s="47">
        <f t="shared" si="15"/>
        <v>0</v>
      </c>
      <c r="H149" s="47">
        <f t="shared" si="15"/>
        <v>0</v>
      </c>
      <c r="I149" s="47">
        <f t="shared" si="15"/>
        <v>0</v>
      </c>
      <c r="J149" s="41"/>
      <c r="K149" s="12"/>
      <c r="L149" s="13"/>
      <c r="M149" s="13"/>
    </row>
    <row r="150" spans="1:13" s="14" customFormat="1" ht="66">
      <c r="A150" s="43">
        <v>38</v>
      </c>
      <c r="B150" s="46" t="s">
        <v>74</v>
      </c>
      <c r="C150" s="47">
        <f>SUM(D150:I150)</f>
        <v>598400.9919</v>
      </c>
      <c r="D150" s="47">
        <f aca="true" t="shared" si="16" ref="D150:I150">D151+D155+D159+D163+D167+D171+D175</f>
        <v>64833.28670000001</v>
      </c>
      <c r="E150" s="47">
        <f t="shared" si="16"/>
        <v>65721.54</v>
      </c>
      <c r="F150" s="47">
        <f t="shared" si="16"/>
        <v>88700.45300000001</v>
      </c>
      <c r="G150" s="47">
        <f t="shared" si="16"/>
        <v>88447.413</v>
      </c>
      <c r="H150" s="47">
        <f t="shared" si="16"/>
        <v>88306.3892</v>
      </c>
      <c r="I150" s="47">
        <f t="shared" si="16"/>
        <v>202391.91000000003</v>
      </c>
      <c r="J150" s="41"/>
      <c r="K150" s="12"/>
      <c r="L150" s="13"/>
      <c r="M150" s="13"/>
    </row>
    <row r="151" spans="1:13" ht="33">
      <c r="A151" s="43">
        <v>39</v>
      </c>
      <c r="B151" s="46" t="s">
        <v>70</v>
      </c>
      <c r="C151" s="47">
        <f>SUM(D151:I151)</f>
        <v>317284.33515</v>
      </c>
      <c r="D151" s="47">
        <f>35805.116+119.98-570.81985</f>
        <v>35354.276150000005</v>
      </c>
      <c r="E151" s="47">
        <v>35356.8</v>
      </c>
      <c r="F151" s="47">
        <f>48789.783-75-85-30</f>
        <v>48599.783</v>
      </c>
      <c r="G151" s="47">
        <v>49389.92</v>
      </c>
      <c r="H151" s="47">
        <v>49295.166</v>
      </c>
      <c r="I151" s="47">
        <f>SUM(I152:I154)+80883.48+17754.91</f>
        <v>99288.39</v>
      </c>
      <c r="J151" s="41" t="s">
        <v>102</v>
      </c>
      <c r="K151" s="7"/>
      <c r="L151" s="2"/>
      <c r="M151" s="2"/>
    </row>
    <row r="152" spans="1:13" ht="33" hidden="1" outlineLevel="1">
      <c r="A152" s="43"/>
      <c r="B152" s="46" t="s">
        <v>4</v>
      </c>
      <c r="C152" s="47">
        <f aca="true" t="shared" si="17" ref="C152:C181">SUM(D152:I152)</f>
        <v>0</v>
      </c>
      <c r="D152" s="47"/>
      <c r="E152" s="47"/>
      <c r="F152" s="47"/>
      <c r="G152" s="47"/>
      <c r="H152" s="47"/>
      <c r="I152" s="47"/>
      <c r="J152" s="41"/>
      <c r="K152" s="7"/>
      <c r="L152" s="2"/>
      <c r="M152" s="2"/>
    </row>
    <row r="153" spans="1:13" ht="33" hidden="1" outlineLevel="1">
      <c r="A153" s="43"/>
      <c r="B153" s="46" t="s">
        <v>1</v>
      </c>
      <c r="C153" s="47">
        <f t="shared" si="17"/>
        <v>0</v>
      </c>
      <c r="D153" s="47"/>
      <c r="E153" s="47"/>
      <c r="F153" s="47"/>
      <c r="G153" s="47"/>
      <c r="H153" s="47"/>
      <c r="I153" s="47"/>
      <c r="J153" s="41"/>
      <c r="K153" s="7"/>
      <c r="L153" s="2"/>
      <c r="M153" s="2"/>
    </row>
    <row r="154" spans="1:13" ht="33" hidden="1" outlineLevel="1">
      <c r="A154" s="43"/>
      <c r="B154" s="46" t="s">
        <v>5</v>
      </c>
      <c r="C154" s="47">
        <f t="shared" si="17"/>
        <v>3150</v>
      </c>
      <c r="D154" s="47">
        <v>400</v>
      </c>
      <c r="E154" s="47">
        <v>450</v>
      </c>
      <c r="F154" s="47">
        <v>500</v>
      </c>
      <c r="G154" s="47">
        <v>550</v>
      </c>
      <c r="H154" s="47">
        <v>600</v>
      </c>
      <c r="I154" s="47">
        <v>650</v>
      </c>
      <c r="J154" s="41"/>
      <c r="K154" s="7"/>
      <c r="L154" s="2"/>
      <c r="M154" s="2"/>
    </row>
    <row r="155" spans="1:13" ht="33" collapsed="1">
      <c r="A155" s="43">
        <v>40</v>
      </c>
      <c r="B155" s="46" t="s">
        <v>71</v>
      </c>
      <c r="C155" s="47">
        <f t="shared" si="17"/>
        <v>16121.341</v>
      </c>
      <c r="D155" s="47">
        <f>30-0.109</f>
        <v>29.891</v>
      </c>
      <c r="E155" s="47">
        <v>20</v>
      </c>
      <c r="F155" s="47">
        <v>20</v>
      </c>
      <c r="G155" s="47">
        <v>20</v>
      </c>
      <c r="H155" s="47">
        <v>20</v>
      </c>
      <c r="I155" s="47">
        <f>SUM(I156:I158)+15946.45</f>
        <v>16011.45</v>
      </c>
      <c r="J155" s="41" t="s">
        <v>68</v>
      </c>
      <c r="K155" s="7"/>
      <c r="L155" s="2"/>
      <c r="M155" s="2"/>
    </row>
    <row r="156" spans="1:13" ht="33" hidden="1" outlineLevel="1">
      <c r="A156" s="43"/>
      <c r="B156" s="46" t="s">
        <v>4</v>
      </c>
      <c r="C156" s="47">
        <f t="shared" si="17"/>
        <v>0</v>
      </c>
      <c r="D156" s="47"/>
      <c r="E156" s="47"/>
      <c r="F156" s="47"/>
      <c r="G156" s="47"/>
      <c r="H156" s="47"/>
      <c r="I156" s="47"/>
      <c r="J156" s="41"/>
      <c r="K156" s="7"/>
      <c r="L156" s="2"/>
      <c r="M156" s="2"/>
    </row>
    <row r="157" spans="1:13" ht="33" hidden="1" outlineLevel="1">
      <c r="A157" s="43"/>
      <c r="B157" s="46" t="s">
        <v>1</v>
      </c>
      <c r="C157" s="47">
        <f t="shared" si="17"/>
        <v>0</v>
      </c>
      <c r="D157" s="47"/>
      <c r="E157" s="47"/>
      <c r="F157" s="47"/>
      <c r="G157" s="47"/>
      <c r="H157" s="47"/>
      <c r="I157" s="47"/>
      <c r="J157" s="41"/>
      <c r="K157" s="7"/>
      <c r="L157" s="2"/>
      <c r="M157" s="2"/>
    </row>
    <row r="158" spans="1:13" ht="33" hidden="1" outlineLevel="1">
      <c r="A158" s="43"/>
      <c r="B158" s="46" t="s">
        <v>5</v>
      </c>
      <c r="C158" s="47">
        <f t="shared" si="17"/>
        <v>720</v>
      </c>
      <c r="D158" s="47">
        <f>30+420</f>
        <v>450</v>
      </c>
      <c r="E158" s="47">
        <v>40</v>
      </c>
      <c r="F158" s="47">
        <v>50</v>
      </c>
      <c r="G158" s="47">
        <v>55</v>
      </c>
      <c r="H158" s="47">
        <v>60</v>
      </c>
      <c r="I158" s="47">
        <v>65</v>
      </c>
      <c r="J158" s="41"/>
      <c r="K158" s="7"/>
      <c r="L158" s="2"/>
      <c r="M158" s="2"/>
    </row>
    <row r="159" spans="1:13" ht="33" collapsed="1">
      <c r="A159" s="43">
        <v>41</v>
      </c>
      <c r="B159" s="46" t="s">
        <v>97</v>
      </c>
      <c r="C159" s="47">
        <f t="shared" si="17"/>
        <v>66113.31688</v>
      </c>
      <c r="D159" s="47">
        <f>7956.949-7.026+217.57788</f>
        <v>8167.50088</v>
      </c>
      <c r="E159" s="47">
        <v>7501.19</v>
      </c>
      <c r="F159" s="47">
        <v>10314.002</v>
      </c>
      <c r="G159" s="47">
        <v>9405.992</v>
      </c>
      <c r="H159" s="47">
        <v>9284.692</v>
      </c>
      <c r="I159" s="47">
        <f>SUM(I160:I162)+13047.96+5591.98</f>
        <v>21439.94</v>
      </c>
      <c r="J159" s="41" t="s">
        <v>103</v>
      </c>
      <c r="K159" s="7"/>
      <c r="L159" s="2"/>
      <c r="M159" s="2"/>
    </row>
    <row r="160" spans="1:13" ht="33" hidden="1" outlineLevel="1">
      <c r="A160" s="43"/>
      <c r="B160" s="46" t="s">
        <v>4</v>
      </c>
      <c r="C160" s="47">
        <f t="shared" si="17"/>
        <v>0</v>
      </c>
      <c r="D160" s="47"/>
      <c r="E160" s="47"/>
      <c r="F160" s="47"/>
      <c r="G160" s="47"/>
      <c r="H160" s="47"/>
      <c r="I160" s="47"/>
      <c r="J160" s="41"/>
      <c r="K160" s="7"/>
      <c r="L160" s="2"/>
      <c r="M160" s="2"/>
    </row>
    <row r="161" spans="1:13" ht="33" hidden="1" outlineLevel="1">
      <c r="A161" s="43"/>
      <c r="B161" s="46" t="s">
        <v>1</v>
      </c>
      <c r="C161" s="47">
        <f t="shared" si="17"/>
        <v>0</v>
      </c>
      <c r="D161" s="47"/>
      <c r="E161" s="47"/>
      <c r="F161" s="47"/>
      <c r="G161" s="47"/>
      <c r="H161" s="47"/>
      <c r="I161" s="47"/>
      <c r="J161" s="41"/>
      <c r="K161" s="7"/>
      <c r="L161" s="2"/>
      <c r="M161" s="2"/>
    </row>
    <row r="162" spans="1:13" ht="33" hidden="1" outlineLevel="1">
      <c r="A162" s="43"/>
      <c r="B162" s="46" t="s">
        <v>5</v>
      </c>
      <c r="C162" s="47">
        <f t="shared" si="17"/>
        <v>17800</v>
      </c>
      <c r="D162" s="47">
        <v>3000</v>
      </c>
      <c r="E162" s="47">
        <v>2000</v>
      </c>
      <c r="F162" s="47">
        <v>3000</v>
      </c>
      <c r="G162" s="47">
        <v>3500</v>
      </c>
      <c r="H162" s="47">
        <v>3500</v>
      </c>
      <c r="I162" s="47">
        <v>2800</v>
      </c>
      <c r="J162" s="41"/>
      <c r="K162" s="7"/>
      <c r="L162" s="2"/>
      <c r="M162" s="2"/>
    </row>
    <row r="163" spans="1:13" ht="33" collapsed="1">
      <c r="A163" s="43">
        <v>42</v>
      </c>
      <c r="B163" s="46" t="s">
        <v>9</v>
      </c>
      <c r="C163" s="47">
        <f t="shared" si="17"/>
        <v>40669.03952</v>
      </c>
      <c r="D163" s="47">
        <f>4644.621-19.3356-217.57788</f>
        <v>4407.70752</v>
      </c>
      <c r="E163" s="47">
        <v>4985.7</v>
      </c>
      <c r="F163" s="47">
        <v>5954.17</v>
      </c>
      <c r="G163" s="47">
        <v>5985.111</v>
      </c>
      <c r="H163" s="47">
        <v>6002.501</v>
      </c>
      <c r="I163" s="47">
        <f>SUM(I164:I166)+9112.04+3721.81</f>
        <v>13333.85</v>
      </c>
      <c r="J163" s="41" t="s">
        <v>102</v>
      </c>
      <c r="K163" s="7"/>
      <c r="L163" s="2"/>
      <c r="M163" s="2"/>
    </row>
    <row r="164" spans="1:13" ht="33" hidden="1" outlineLevel="1">
      <c r="A164" s="43"/>
      <c r="B164" s="46" t="s">
        <v>4</v>
      </c>
      <c r="C164" s="47">
        <f t="shared" si="17"/>
        <v>0</v>
      </c>
      <c r="D164" s="47"/>
      <c r="E164" s="47"/>
      <c r="F164" s="47"/>
      <c r="G164" s="47"/>
      <c r="H164" s="47"/>
      <c r="I164" s="47"/>
      <c r="J164" s="41"/>
      <c r="K164" s="7"/>
      <c r="L164" s="2"/>
      <c r="M164" s="2"/>
    </row>
    <row r="165" spans="1:13" ht="33" hidden="1" outlineLevel="1">
      <c r="A165" s="43"/>
      <c r="B165" s="46" t="s">
        <v>1</v>
      </c>
      <c r="C165" s="47">
        <f t="shared" si="17"/>
        <v>0</v>
      </c>
      <c r="D165" s="47"/>
      <c r="E165" s="47"/>
      <c r="F165" s="47"/>
      <c r="G165" s="47"/>
      <c r="H165" s="47"/>
      <c r="I165" s="47"/>
      <c r="J165" s="41"/>
      <c r="K165" s="7"/>
      <c r="L165" s="2"/>
      <c r="M165" s="2"/>
    </row>
    <row r="166" spans="1:13" ht="33" hidden="1" outlineLevel="1">
      <c r="A166" s="43"/>
      <c r="B166" s="46" t="s">
        <v>5</v>
      </c>
      <c r="C166" s="47">
        <f t="shared" si="17"/>
        <v>3000</v>
      </c>
      <c r="D166" s="47">
        <v>500</v>
      </c>
      <c r="E166" s="47">
        <v>500</v>
      </c>
      <c r="F166" s="47">
        <v>500</v>
      </c>
      <c r="G166" s="47">
        <v>500</v>
      </c>
      <c r="H166" s="47">
        <v>500</v>
      </c>
      <c r="I166" s="47">
        <v>500</v>
      </c>
      <c r="J166" s="41"/>
      <c r="K166" s="7"/>
      <c r="L166" s="2"/>
      <c r="M166" s="2"/>
    </row>
    <row r="167" spans="1:13" ht="33" collapsed="1">
      <c r="A167" s="43">
        <v>43</v>
      </c>
      <c r="B167" s="46" t="s">
        <v>10</v>
      </c>
      <c r="C167" s="47">
        <f t="shared" si="17"/>
        <v>53809.7822</v>
      </c>
      <c r="D167" s="47">
        <f>5608.041-100-59.935</f>
        <v>5448.106</v>
      </c>
      <c r="E167" s="47">
        <v>5795.59</v>
      </c>
      <c r="F167" s="47">
        <v>9170.78</v>
      </c>
      <c r="G167" s="47">
        <v>8975.013</v>
      </c>
      <c r="H167" s="47">
        <v>8990.0932</v>
      </c>
      <c r="I167" s="47">
        <f>SUM(I168:I170)+13768.48+1361.72</f>
        <v>15430.199999999999</v>
      </c>
      <c r="J167" s="41" t="s">
        <v>101</v>
      </c>
      <c r="K167" s="7"/>
      <c r="L167" s="2"/>
      <c r="M167" s="2"/>
    </row>
    <row r="168" spans="1:13" ht="33" hidden="1" outlineLevel="1">
      <c r="A168" s="43"/>
      <c r="B168" s="46" t="s">
        <v>4</v>
      </c>
      <c r="C168" s="47">
        <f t="shared" si="17"/>
        <v>0</v>
      </c>
      <c r="D168" s="47"/>
      <c r="E168" s="47"/>
      <c r="F168" s="47"/>
      <c r="G168" s="47"/>
      <c r="H168" s="47"/>
      <c r="I168" s="47"/>
      <c r="J168" s="41"/>
      <c r="K168" s="7"/>
      <c r="L168" s="2"/>
      <c r="M168" s="2"/>
    </row>
    <row r="169" spans="1:13" ht="33" hidden="1" outlineLevel="1">
      <c r="A169" s="43"/>
      <c r="B169" s="46" t="s">
        <v>1</v>
      </c>
      <c r="C169" s="47">
        <f t="shared" si="17"/>
        <v>0</v>
      </c>
      <c r="D169" s="47"/>
      <c r="E169" s="47"/>
      <c r="F169" s="47"/>
      <c r="G169" s="47"/>
      <c r="H169" s="47"/>
      <c r="I169" s="47"/>
      <c r="J169" s="41"/>
      <c r="K169" s="7"/>
      <c r="L169" s="2"/>
      <c r="M169" s="2"/>
    </row>
    <row r="170" spans="1:13" ht="33" hidden="1" outlineLevel="1">
      <c r="A170" s="43"/>
      <c r="B170" s="46" t="s">
        <v>5</v>
      </c>
      <c r="C170" s="47">
        <f t="shared" si="17"/>
        <v>1800</v>
      </c>
      <c r="D170" s="47">
        <v>300</v>
      </c>
      <c r="E170" s="47">
        <v>300</v>
      </c>
      <c r="F170" s="47">
        <v>300</v>
      </c>
      <c r="G170" s="47">
        <v>300</v>
      </c>
      <c r="H170" s="47">
        <v>300</v>
      </c>
      <c r="I170" s="47">
        <v>300</v>
      </c>
      <c r="J170" s="41"/>
      <c r="K170" s="7"/>
      <c r="L170" s="2"/>
      <c r="M170" s="2"/>
    </row>
    <row r="171" spans="1:13" ht="33" collapsed="1">
      <c r="A171" s="43">
        <v>44</v>
      </c>
      <c r="B171" s="46" t="s">
        <v>11</v>
      </c>
      <c r="C171" s="47">
        <f>SUM(D171:I171)</f>
        <v>100198.98715</v>
      </c>
      <c r="D171" s="47">
        <f>11466.083-38.24088-32.03697</f>
        <v>11395.805150000002</v>
      </c>
      <c r="E171" s="47">
        <v>12032.26</v>
      </c>
      <c r="F171" s="47">
        <f>14481.718+60</f>
        <v>14541.718</v>
      </c>
      <c r="G171" s="47">
        <v>14621.377</v>
      </c>
      <c r="H171" s="47">
        <v>14663.937</v>
      </c>
      <c r="I171" s="47">
        <f>SUM(I172:I174)+19138.54+10305.35</f>
        <v>32943.89</v>
      </c>
      <c r="J171" s="41" t="s">
        <v>103</v>
      </c>
      <c r="K171" s="7"/>
      <c r="L171" s="2"/>
      <c r="M171" s="2"/>
    </row>
    <row r="172" spans="1:13" ht="33" hidden="1" outlineLevel="1">
      <c r="A172" s="43"/>
      <c r="B172" s="46" t="s">
        <v>4</v>
      </c>
      <c r="C172" s="47">
        <f t="shared" si="17"/>
        <v>0</v>
      </c>
      <c r="D172" s="47"/>
      <c r="E172" s="47"/>
      <c r="F172" s="47"/>
      <c r="G172" s="47"/>
      <c r="H172" s="47"/>
      <c r="I172" s="47"/>
      <c r="J172" s="41"/>
      <c r="K172" s="7"/>
      <c r="L172" s="2"/>
      <c r="M172" s="2"/>
    </row>
    <row r="173" spans="1:13" ht="33" hidden="1" outlineLevel="1">
      <c r="A173" s="43"/>
      <c r="B173" s="46" t="s">
        <v>1</v>
      </c>
      <c r="C173" s="47">
        <f t="shared" si="17"/>
        <v>0</v>
      </c>
      <c r="D173" s="47"/>
      <c r="E173" s="47"/>
      <c r="F173" s="47"/>
      <c r="G173" s="47"/>
      <c r="H173" s="47"/>
      <c r="I173" s="47"/>
      <c r="J173" s="41"/>
      <c r="K173" s="7"/>
      <c r="L173" s="2"/>
      <c r="M173" s="2"/>
    </row>
    <row r="174" spans="1:13" ht="33" hidden="1" outlineLevel="1">
      <c r="A174" s="43"/>
      <c r="B174" s="46" t="s">
        <v>5</v>
      </c>
      <c r="C174" s="47">
        <f t="shared" si="17"/>
        <v>14500</v>
      </c>
      <c r="D174" s="47">
        <v>1500</v>
      </c>
      <c r="E174" s="47">
        <v>3000</v>
      </c>
      <c r="F174" s="47">
        <v>2500</v>
      </c>
      <c r="G174" s="47">
        <v>2000</v>
      </c>
      <c r="H174" s="47">
        <v>2000</v>
      </c>
      <c r="I174" s="47">
        <v>3500</v>
      </c>
      <c r="J174" s="41"/>
      <c r="K174" s="7"/>
      <c r="L174" s="2"/>
      <c r="M174" s="2"/>
    </row>
    <row r="175" spans="1:13" ht="74.25" customHeight="1" collapsed="1">
      <c r="A175" s="43">
        <v>45</v>
      </c>
      <c r="B175" s="46" t="s">
        <v>12</v>
      </c>
      <c r="C175" s="47">
        <f>SUM(D175:I175)</f>
        <v>4204.1900000000005</v>
      </c>
      <c r="D175" s="47">
        <v>30</v>
      </c>
      <c r="E175" s="47">
        <v>30</v>
      </c>
      <c r="F175" s="47">
        <v>100</v>
      </c>
      <c r="G175" s="47">
        <v>50</v>
      </c>
      <c r="H175" s="47">
        <v>50</v>
      </c>
      <c r="I175" s="47">
        <f>SUM(I176:I178)+3879.19</f>
        <v>3944.19</v>
      </c>
      <c r="J175" s="41" t="s">
        <v>69</v>
      </c>
      <c r="K175" s="7"/>
      <c r="L175" s="2"/>
      <c r="M175" s="2"/>
    </row>
    <row r="176" spans="1:13" ht="33" hidden="1" outlineLevel="1">
      <c r="A176" s="41"/>
      <c r="B176" s="44" t="s">
        <v>4</v>
      </c>
      <c r="C176" s="45">
        <f t="shared" si="17"/>
        <v>0</v>
      </c>
      <c r="D176" s="45"/>
      <c r="E176" s="45"/>
      <c r="F176" s="45"/>
      <c r="G176" s="45"/>
      <c r="H176" s="45"/>
      <c r="I176" s="45"/>
      <c r="J176" s="41"/>
      <c r="K176" s="7"/>
      <c r="L176" s="2"/>
      <c r="M176" s="2"/>
    </row>
    <row r="177" spans="1:13" ht="33" hidden="1" outlineLevel="1">
      <c r="A177" s="41"/>
      <c r="B177" s="44" t="s">
        <v>1</v>
      </c>
      <c r="C177" s="45">
        <f t="shared" si="17"/>
        <v>0</v>
      </c>
      <c r="D177" s="45"/>
      <c r="E177" s="45"/>
      <c r="F177" s="45"/>
      <c r="G177" s="45"/>
      <c r="H177" s="45"/>
      <c r="I177" s="45"/>
      <c r="J177" s="41"/>
      <c r="K177" s="7"/>
      <c r="L177" s="2"/>
      <c r="M177" s="2"/>
    </row>
    <row r="178" spans="1:13" ht="33" hidden="1" outlineLevel="1">
      <c r="A178" s="41"/>
      <c r="B178" s="44" t="s">
        <v>5</v>
      </c>
      <c r="C178" s="45">
        <f t="shared" si="17"/>
        <v>360</v>
      </c>
      <c r="D178" s="45">
        <v>55</v>
      </c>
      <c r="E178" s="45">
        <v>55</v>
      </c>
      <c r="F178" s="45">
        <v>60</v>
      </c>
      <c r="G178" s="45">
        <v>60</v>
      </c>
      <c r="H178" s="45">
        <v>65</v>
      </c>
      <c r="I178" s="45">
        <v>65</v>
      </c>
      <c r="J178" s="41"/>
      <c r="K178" s="7"/>
      <c r="L178" s="2"/>
      <c r="M178" s="2"/>
    </row>
    <row r="179" spans="1:13" ht="33" hidden="1" outlineLevel="1">
      <c r="A179" s="41"/>
      <c r="B179" s="44" t="s">
        <v>4</v>
      </c>
      <c r="C179" s="45">
        <f t="shared" si="17"/>
        <v>0</v>
      </c>
      <c r="D179" s="45"/>
      <c r="E179" s="45"/>
      <c r="F179" s="45"/>
      <c r="G179" s="45"/>
      <c r="H179" s="45"/>
      <c r="I179" s="45"/>
      <c r="J179" s="41"/>
      <c r="K179" s="7"/>
      <c r="L179" s="2"/>
      <c r="M179" s="2"/>
    </row>
    <row r="180" spans="1:13" ht="33" hidden="1" outlineLevel="1">
      <c r="A180" s="41"/>
      <c r="B180" s="44" t="s">
        <v>1</v>
      </c>
      <c r="C180" s="45">
        <f t="shared" si="17"/>
        <v>0</v>
      </c>
      <c r="D180" s="45"/>
      <c r="E180" s="45"/>
      <c r="F180" s="45"/>
      <c r="G180" s="45"/>
      <c r="H180" s="45"/>
      <c r="I180" s="45"/>
      <c r="J180" s="41"/>
      <c r="K180" s="7"/>
      <c r="L180" s="2"/>
      <c r="M180" s="2"/>
    </row>
    <row r="181" spans="1:13" ht="33" hidden="1" outlineLevel="1">
      <c r="A181" s="41"/>
      <c r="B181" s="44" t="s">
        <v>5</v>
      </c>
      <c r="C181" s="45">
        <f t="shared" si="17"/>
        <v>200</v>
      </c>
      <c r="D181" s="45">
        <v>0</v>
      </c>
      <c r="E181" s="45">
        <v>0</v>
      </c>
      <c r="F181" s="45">
        <v>0</v>
      </c>
      <c r="G181" s="45">
        <v>200</v>
      </c>
      <c r="H181" s="45">
        <v>0</v>
      </c>
      <c r="I181" s="45">
        <v>0</v>
      </c>
      <c r="J181" s="41"/>
      <c r="K181" s="7"/>
      <c r="L181" s="2"/>
      <c r="M181" s="2"/>
    </row>
    <row r="182" spans="1:13" s="11" customFormat="1" ht="168" customHeight="1" collapsed="1">
      <c r="A182" s="41">
        <v>46</v>
      </c>
      <c r="B182" s="44" t="s">
        <v>77</v>
      </c>
      <c r="C182" s="45">
        <f aca="true" t="shared" si="18" ref="C182:C188">SUM(D182:I182)</f>
        <v>141380.92797</v>
      </c>
      <c r="D182" s="45">
        <f aca="true" t="shared" si="19" ref="D182:I182">D183+D184+D185</f>
        <v>20511.552970000004</v>
      </c>
      <c r="E182" s="45">
        <f t="shared" si="19"/>
        <v>20284.4</v>
      </c>
      <c r="F182" s="45">
        <f t="shared" si="19"/>
        <v>21845.953999999998</v>
      </c>
      <c r="G182" s="45">
        <f t="shared" si="19"/>
        <v>21889.042999999998</v>
      </c>
      <c r="H182" s="45">
        <f t="shared" si="19"/>
        <v>22016.917999999998</v>
      </c>
      <c r="I182" s="45">
        <f t="shared" si="19"/>
        <v>34833.06</v>
      </c>
      <c r="J182" s="41"/>
      <c r="K182" s="9"/>
      <c r="L182" s="10"/>
      <c r="M182" s="10"/>
    </row>
    <row r="183" spans="1:13" s="14" customFormat="1" ht="33">
      <c r="A183" s="43">
        <v>47</v>
      </c>
      <c r="B183" s="46" t="s">
        <v>4</v>
      </c>
      <c r="C183" s="47">
        <f t="shared" si="18"/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3"/>
      <c r="K183" s="12"/>
      <c r="L183" s="13"/>
      <c r="M183" s="13"/>
    </row>
    <row r="184" spans="1:13" s="14" customFormat="1" ht="33">
      <c r="A184" s="43">
        <v>48</v>
      </c>
      <c r="B184" s="46" t="s">
        <v>1</v>
      </c>
      <c r="C184" s="47">
        <f t="shared" si="18"/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3"/>
      <c r="K184" s="12"/>
      <c r="L184" s="13"/>
      <c r="M184" s="13"/>
    </row>
    <row r="185" spans="1:13" s="14" customFormat="1" ht="66">
      <c r="A185" s="43">
        <v>49</v>
      </c>
      <c r="B185" s="46" t="s">
        <v>74</v>
      </c>
      <c r="C185" s="47">
        <f t="shared" si="18"/>
        <v>141380.92797</v>
      </c>
      <c r="D185" s="47">
        <f aca="true" t="shared" si="20" ref="D185:I185">D186+D187</f>
        <v>20511.552970000004</v>
      </c>
      <c r="E185" s="47">
        <f t="shared" si="20"/>
        <v>20284.4</v>
      </c>
      <c r="F185" s="47">
        <f t="shared" si="20"/>
        <v>21845.953999999998</v>
      </c>
      <c r="G185" s="47">
        <f t="shared" si="20"/>
        <v>21889.042999999998</v>
      </c>
      <c r="H185" s="47">
        <f t="shared" si="20"/>
        <v>22016.917999999998</v>
      </c>
      <c r="I185" s="47">
        <f t="shared" si="20"/>
        <v>34833.06</v>
      </c>
      <c r="J185" s="43"/>
      <c r="K185" s="12"/>
      <c r="L185" s="13"/>
      <c r="M185" s="13"/>
    </row>
    <row r="186" spans="1:13" ht="64.5" customHeight="1">
      <c r="A186" s="43">
        <v>50</v>
      </c>
      <c r="B186" s="46" t="s">
        <v>93</v>
      </c>
      <c r="C186" s="47">
        <f t="shared" si="18"/>
        <v>85207.11409</v>
      </c>
      <c r="D186" s="47">
        <f>12355.225-167.185-6.63173-55.44018</f>
        <v>12125.968090000002</v>
      </c>
      <c r="E186" s="47">
        <v>12333.64</v>
      </c>
      <c r="F186" s="47">
        <v>13149.802</v>
      </c>
      <c r="G186" s="47">
        <v>13098.202</v>
      </c>
      <c r="H186" s="47">
        <v>13102.752</v>
      </c>
      <c r="I186" s="47">
        <v>21396.75</v>
      </c>
      <c r="J186" s="43" t="s">
        <v>84</v>
      </c>
      <c r="K186" s="7"/>
      <c r="L186" s="2"/>
      <c r="M186" s="2"/>
    </row>
    <row r="187" spans="1:13" ht="67.5" customHeight="1">
      <c r="A187" s="43">
        <v>51</v>
      </c>
      <c r="B187" s="46" t="s">
        <v>94</v>
      </c>
      <c r="C187" s="47">
        <f t="shared" si="18"/>
        <v>56173.813879999994</v>
      </c>
      <c r="D187" s="47">
        <f>8386.801-1.21612</f>
        <v>8385.58488</v>
      </c>
      <c r="E187" s="47">
        <v>7950.76</v>
      </c>
      <c r="F187" s="47">
        <v>8696.152</v>
      </c>
      <c r="G187" s="47">
        <v>8790.841</v>
      </c>
      <c r="H187" s="47">
        <v>8914.166</v>
      </c>
      <c r="I187" s="47">
        <v>13436.31</v>
      </c>
      <c r="J187" s="43" t="s">
        <v>84</v>
      </c>
      <c r="K187" s="7"/>
      <c r="L187" s="2"/>
      <c r="M187" s="2"/>
    </row>
    <row r="188" spans="1:13" s="11" customFormat="1" ht="135.75" customHeight="1">
      <c r="A188" s="41">
        <v>52</v>
      </c>
      <c r="B188" s="44" t="s">
        <v>78</v>
      </c>
      <c r="C188" s="45">
        <f t="shared" si="18"/>
        <v>166216.23593999998</v>
      </c>
      <c r="D188" s="45">
        <f aca="true" t="shared" si="21" ref="D188:I188">D189+D190+D191</f>
        <v>21517.699419999997</v>
      </c>
      <c r="E188" s="45">
        <f t="shared" si="21"/>
        <v>21804.31</v>
      </c>
      <c r="F188" s="45">
        <f t="shared" si="21"/>
        <v>26323.821</v>
      </c>
      <c r="G188" s="45">
        <f t="shared" si="21"/>
        <v>26597.866</v>
      </c>
      <c r="H188" s="45">
        <f t="shared" si="21"/>
        <v>26612.616</v>
      </c>
      <c r="I188" s="45">
        <f t="shared" si="21"/>
        <v>43359.92352</v>
      </c>
      <c r="J188" s="41"/>
      <c r="K188" s="9"/>
      <c r="L188" s="10"/>
      <c r="M188" s="10"/>
    </row>
    <row r="189" spans="1:13" s="14" customFormat="1" ht="33">
      <c r="A189" s="43">
        <v>53</v>
      </c>
      <c r="B189" s="46" t="s">
        <v>4</v>
      </c>
      <c r="C189" s="47">
        <f aca="true" t="shared" si="22" ref="C189:C204">SUM(D189:I189)</f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3"/>
      <c r="K189" s="12"/>
      <c r="L189" s="13"/>
      <c r="M189" s="13"/>
    </row>
    <row r="190" spans="1:13" s="14" customFormat="1" ht="45.75" customHeight="1">
      <c r="A190" s="43">
        <v>54</v>
      </c>
      <c r="B190" s="46" t="s">
        <v>1</v>
      </c>
      <c r="C190" s="47">
        <f t="shared" si="22"/>
        <v>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3"/>
      <c r="K190" s="12"/>
      <c r="L190" s="13"/>
      <c r="M190" s="13"/>
    </row>
    <row r="191" spans="1:13" s="14" customFormat="1" ht="66">
      <c r="A191" s="43">
        <v>55</v>
      </c>
      <c r="B191" s="46" t="s">
        <v>74</v>
      </c>
      <c r="C191" s="47">
        <f t="shared" si="22"/>
        <v>166216.23593999998</v>
      </c>
      <c r="D191" s="47">
        <f aca="true" t="shared" si="23" ref="D191:I191">D192</f>
        <v>21517.699419999997</v>
      </c>
      <c r="E191" s="47">
        <f t="shared" si="23"/>
        <v>21804.31</v>
      </c>
      <c r="F191" s="47">
        <f t="shared" si="23"/>
        <v>26323.821</v>
      </c>
      <c r="G191" s="47">
        <f t="shared" si="23"/>
        <v>26597.866</v>
      </c>
      <c r="H191" s="47">
        <f t="shared" si="23"/>
        <v>26612.616</v>
      </c>
      <c r="I191" s="47">
        <f t="shared" si="23"/>
        <v>43359.92352</v>
      </c>
      <c r="J191" s="43"/>
      <c r="K191" s="12"/>
      <c r="L191" s="13"/>
      <c r="M191" s="13"/>
    </row>
    <row r="192" spans="1:13" ht="69.75" customHeight="1">
      <c r="A192" s="43">
        <v>56</v>
      </c>
      <c r="B192" s="46" t="s">
        <v>71</v>
      </c>
      <c r="C192" s="47">
        <f t="shared" si="22"/>
        <v>166216.23593999998</v>
      </c>
      <c r="D192" s="47">
        <f>21500.086+52.141-34.65258+0.125</f>
        <v>21517.699419999997</v>
      </c>
      <c r="E192" s="47">
        <v>21804.31</v>
      </c>
      <c r="F192" s="47">
        <f>26393.021-69.2</f>
        <v>26323.821</v>
      </c>
      <c r="G192" s="47">
        <v>26597.866</v>
      </c>
      <c r="H192" s="47">
        <v>26612.616</v>
      </c>
      <c r="I192" s="47">
        <v>43359.92352</v>
      </c>
      <c r="J192" s="43" t="s">
        <v>85</v>
      </c>
      <c r="K192" s="7"/>
      <c r="L192" s="2"/>
      <c r="M192" s="2"/>
    </row>
    <row r="193" spans="1:13" s="11" customFormat="1" ht="201.75" customHeight="1">
      <c r="A193" s="41">
        <v>57</v>
      </c>
      <c r="B193" s="44" t="s">
        <v>79</v>
      </c>
      <c r="C193" s="45">
        <f aca="true" t="shared" si="24" ref="C193:I193">C194+C196+C198</f>
        <v>4030.4950000000003</v>
      </c>
      <c r="D193" s="45">
        <f>D194+D196+D198</f>
        <v>567.8</v>
      </c>
      <c r="E193" s="45">
        <f t="shared" si="24"/>
        <v>836.56</v>
      </c>
      <c r="F193" s="45">
        <f t="shared" si="24"/>
        <v>200</v>
      </c>
      <c r="G193" s="45">
        <f t="shared" si="24"/>
        <v>200</v>
      </c>
      <c r="H193" s="45">
        <f t="shared" si="24"/>
        <v>200</v>
      </c>
      <c r="I193" s="45">
        <f t="shared" si="24"/>
        <v>2026.1350000000002</v>
      </c>
      <c r="J193" s="41"/>
      <c r="K193" s="9"/>
      <c r="L193" s="10"/>
      <c r="M193" s="10"/>
    </row>
    <row r="194" spans="1:13" s="14" customFormat="1" ht="66">
      <c r="A194" s="43">
        <v>58</v>
      </c>
      <c r="B194" s="46" t="s">
        <v>99</v>
      </c>
      <c r="C194" s="47">
        <f t="shared" si="22"/>
        <v>156.6</v>
      </c>
      <c r="D194" s="47">
        <v>14.6</v>
      </c>
      <c r="E194" s="47">
        <f>E195</f>
        <v>142</v>
      </c>
      <c r="F194" s="47">
        <v>0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ht="70.5" customHeight="1">
      <c r="A195" s="43">
        <v>59</v>
      </c>
      <c r="B195" s="46" t="s">
        <v>71</v>
      </c>
      <c r="C195" s="47">
        <f>SUM(D195:I195)</f>
        <v>156.6</v>
      </c>
      <c r="D195" s="47">
        <v>14.6</v>
      </c>
      <c r="E195" s="47">
        <f>100+42</f>
        <v>142</v>
      </c>
      <c r="F195" s="47">
        <v>0</v>
      </c>
      <c r="G195" s="47">
        <v>0</v>
      </c>
      <c r="H195" s="47">
        <v>0</v>
      </c>
      <c r="I195" s="47">
        <v>0</v>
      </c>
      <c r="J195" s="43" t="s">
        <v>98</v>
      </c>
      <c r="K195" s="7"/>
      <c r="L195" s="2"/>
      <c r="M195" s="2"/>
    </row>
    <row r="196" spans="1:13" s="14" customFormat="1" ht="33">
      <c r="A196" s="43">
        <v>60</v>
      </c>
      <c r="B196" s="46" t="s">
        <v>1</v>
      </c>
      <c r="C196" s="47">
        <f t="shared" si="22"/>
        <v>812.7</v>
      </c>
      <c r="D196" s="47">
        <v>280.7</v>
      </c>
      <c r="E196" s="47">
        <f>E197</f>
        <v>532</v>
      </c>
      <c r="F196" s="47">
        <v>0</v>
      </c>
      <c r="G196" s="47">
        <v>0</v>
      </c>
      <c r="H196" s="47">
        <v>0</v>
      </c>
      <c r="I196" s="47">
        <v>0</v>
      </c>
      <c r="J196" s="43"/>
      <c r="K196" s="12"/>
      <c r="L196" s="13"/>
      <c r="M196" s="13"/>
    </row>
    <row r="197" spans="1:13" ht="68.25" customHeight="1">
      <c r="A197" s="43">
        <v>61</v>
      </c>
      <c r="B197" s="46" t="s">
        <v>71</v>
      </c>
      <c r="C197" s="47">
        <f>SUM(D197:I197)</f>
        <v>812.7</v>
      </c>
      <c r="D197" s="47">
        <v>280.7</v>
      </c>
      <c r="E197" s="47">
        <v>532</v>
      </c>
      <c r="F197" s="47">
        <v>0</v>
      </c>
      <c r="G197" s="47">
        <v>0</v>
      </c>
      <c r="H197" s="47">
        <v>0</v>
      </c>
      <c r="I197" s="47">
        <v>0</v>
      </c>
      <c r="J197" s="43" t="s">
        <v>98</v>
      </c>
      <c r="K197" s="7"/>
      <c r="L197" s="2"/>
      <c r="M197" s="2"/>
    </row>
    <row r="198" spans="1:13" s="14" customFormat="1" ht="66">
      <c r="A198" s="43">
        <v>62</v>
      </c>
      <c r="B198" s="46" t="s">
        <v>74</v>
      </c>
      <c r="C198" s="47">
        <f t="shared" si="22"/>
        <v>3061.195</v>
      </c>
      <c r="D198" s="47">
        <f aca="true" t="shared" si="25" ref="D198:I198">D199</f>
        <v>272.5</v>
      </c>
      <c r="E198" s="47">
        <f>E199</f>
        <v>162.56</v>
      </c>
      <c r="F198" s="47">
        <f t="shared" si="25"/>
        <v>200</v>
      </c>
      <c r="G198" s="47">
        <f t="shared" si="25"/>
        <v>200</v>
      </c>
      <c r="H198" s="47">
        <f t="shared" si="25"/>
        <v>200</v>
      </c>
      <c r="I198" s="47">
        <f t="shared" si="25"/>
        <v>2026.1350000000002</v>
      </c>
      <c r="J198" s="43"/>
      <c r="K198" s="12"/>
      <c r="L198" s="13"/>
      <c r="M198" s="13"/>
    </row>
    <row r="199" spans="1:13" ht="62.25" customHeight="1">
      <c r="A199" s="43">
        <v>63</v>
      </c>
      <c r="B199" s="46" t="s">
        <v>71</v>
      </c>
      <c r="C199" s="47">
        <f>SUM(D199:I199)</f>
        <v>3061.195</v>
      </c>
      <c r="D199" s="47">
        <f>266.5+6</f>
        <v>272.5</v>
      </c>
      <c r="E199" s="47">
        <f>160+2.56</f>
        <v>162.56</v>
      </c>
      <c r="F199" s="47">
        <v>200</v>
      </c>
      <c r="G199" s="47">
        <v>200</v>
      </c>
      <c r="H199" s="47">
        <v>200</v>
      </c>
      <c r="I199" s="47">
        <f>2026.13+0.005</f>
        <v>2026.1350000000002</v>
      </c>
      <c r="J199" s="43" t="s">
        <v>98</v>
      </c>
      <c r="K199" s="7"/>
      <c r="L199" s="2"/>
      <c r="M199" s="2"/>
    </row>
    <row r="200" spans="1:13" s="11" customFormat="1" ht="139.5" customHeight="1">
      <c r="A200" s="41">
        <v>64</v>
      </c>
      <c r="B200" s="44" t="s">
        <v>80</v>
      </c>
      <c r="C200" s="45">
        <f>SUM(D200:I200)</f>
        <v>29453.308640000003</v>
      </c>
      <c r="D200" s="45">
        <f aca="true" t="shared" si="26" ref="D200:I200">D201+D202+D203</f>
        <v>3892.3160000000003</v>
      </c>
      <c r="E200" s="45">
        <f t="shared" si="26"/>
        <v>3944.47</v>
      </c>
      <c r="F200" s="45">
        <f t="shared" si="26"/>
        <v>4998.445</v>
      </c>
      <c r="G200" s="45">
        <f t="shared" si="26"/>
        <v>4901.538</v>
      </c>
      <c r="H200" s="45">
        <f t="shared" si="26"/>
        <v>4909.258</v>
      </c>
      <c r="I200" s="45">
        <f t="shared" si="26"/>
        <v>6807.28164</v>
      </c>
      <c r="J200" s="41"/>
      <c r="K200" s="9"/>
      <c r="L200" s="10"/>
      <c r="M200" s="10"/>
    </row>
    <row r="201" spans="1:13" s="14" customFormat="1" ht="33">
      <c r="A201" s="43">
        <v>65</v>
      </c>
      <c r="B201" s="46" t="s">
        <v>4</v>
      </c>
      <c r="C201" s="47">
        <f t="shared" si="22"/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3"/>
      <c r="K201" s="12"/>
      <c r="L201" s="13"/>
      <c r="M201" s="13"/>
    </row>
    <row r="202" spans="1:13" s="14" customFormat="1" ht="33">
      <c r="A202" s="43">
        <v>66</v>
      </c>
      <c r="B202" s="46" t="s">
        <v>1</v>
      </c>
      <c r="C202" s="47">
        <f t="shared" si="22"/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3"/>
      <c r="K202" s="12"/>
      <c r="L202" s="13"/>
      <c r="M202" s="13"/>
    </row>
    <row r="203" spans="1:13" s="14" customFormat="1" ht="66">
      <c r="A203" s="43">
        <v>67</v>
      </c>
      <c r="B203" s="46" t="s">
        <v>74</v>
      </c>
      <c r="C203" s="47">
        <f t="shared" si="22"/>
        <v>29453.308640000003</v>
      </c>
      <c r="D203" s="47">
        <f aca="true" t="shared" si="27" ref="D203:I203">D204</f>
        <v>3892.3160000000003</v>
      </c>
      <c r="E203" s="47">
        <f t="shared" si="27"/>
        <v>3944.47</v>
      </c>
      <c r="F203" s="47">
        <f t="shared" si="27"/>
        <v>4998.445</v>
      </c>
      <c r="G203" s="47">
        <f t="shared" si="27"/>
        <v>4901.538</v>
      </c>
      <c r="H203" s="47">
        <f t="shared" si="27"/>
        <v>4909.258</v>
      </c>
      <c r="I203" s="47">
        <f t="shared" si="27"/>
        <v>6807.28164</v>
      </c>
      <c r="J203" s="43"/>
      <c r="K203" s="12"/>
      <c r="L203" s="13"/>
      <c r="M203" s="13"/>
    </row>
    <row r="204" spans="1:13" ht="96" customHeight="1">
      <c r="A204" s="43">
        <v>68</v>
      </c>
      <c r="B204" s="46" t="s">
        <v>12</v>
      </c>
      <c r="C204" s="47">
        <f t="shared" si="22"/>
        <v>29453.308640000003</v>
      </c>
      <c r="D204" s="47">
        <f>3904.226-11.91</f>
        <v>3892.3160000000003</v>
      </c>
      <c r="E204" s="47">
        <v>3944.47</v>
      </c>
      <c r="F204" s="47">
        <f>5124.445-126</f>
        <v>4998.445</v>
      </c>
      <c r="G204" s="47">
        <v>4901.538</v>
      </c>
      <c r="H204" s="47">
        <v>4909.258</v>
      </c>
      <c r="I204" s="47">
        <v>6807.28164</v>
      </c>
      <c r="J204" s="43" t="s">
        <v>86</v>
      </c>
      <c r="K204" s="7"/>
      <c r="L204" s="2"/>
      <c r="M204" s="2"/>
    </row>
    <row r="205" spans="1:13" ht="72" customHeight="1">
      <c r="A205" s="41">
        <v>69</v>
      </c>
      <c r="B205" s="44" t="s">
        <v>90</v>
      </c>
      <c r="C205" s="45">
        <f>SUM(D205:I205)</f>
        <v>40277.848</v>
      </c>
      <c r="D205" s="45">
        <f aca="true" t="shared" si="28" ref="D205:I205">D208</f>
        <v>4882.188</v>
      </c>
      <c r="E205" s="45">
        <f t="shared" si="28"/>
        <v>6761.81</v>
      </c>
      <c r="F205" s="45">
        <f t="shared" si="28"/>
        <v>7270.678</v>
      </c>
      <c r="G205" s="45">
        <f t="shared" si="28"/>
        <v>7179.986000000001</v>
      </c>
      <c r="H205" s="45">
        <f t="shared" si="28"/>
        <v>7373.116</v>
      </c>
      <c r="I205" s="45">
        <f t="shared" si="28"/>
        <v>6810.07</v>
      </c>
      <c r="J205" s="41"/>
      <c r="K205" s="7"/>
      <c r="L205" s="2"/>
      <c r="M205" s="2"/>
    </row>
    <row r="206" spans="1:13" ht="33">
      <c r="A206" s="43">
        <v>70</v>
      </c>
      <c r="B206" s="46" t="s">
        <v>4</v>
      </c>
      <c r="C206" s="47">
        <f>SUM(D206:I206)</f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3"/>
      <c r="K206" s="7"/>
      <c r="L206" s="2"/>
      <c r="M206" s="2"/>
    </row>
    <row r="207" spans="1:13" ht="33">
      <c r="A207" s="43">
        <v>71</v>
      </c>
      <c r="B207" s="46" t="s">
        <v>1</v>
      </c>
      <c r="C207" s="47">
        <f>SUM(D207:I207)</f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3"/>
      <c r="K207" s="7"/>
      <c r="L207" s="2"/>
      <c r="M207" s="2"/>
    </row>
    <row r="208" spans="1:13" ht="33">
      <c r="A208" s="43">
        <v>72</v>
      </c>
      <c r="B208" s="46" t="s">
        <v>75</v>
      </c>
      <c r="C208" s="47">
        <f aca="true" t="shared" si="29" ref="C208:I208">C209+C210</f>
        <v>40277.848000000005</v>
      </c>
      <c r="D208" s="47">
        <f t="shared" si="29"/>
        <v>4882.188</v>
      </c>
      <c r="E208" s="47">
        <f t="shared" si="29"/>
        <v>6761.81</v>
      </c>
      <c r="F208" s="47">
        <f t="shared" si="29"/>
        <v>7270.678</v>
      </c>
      <c r="G208" s="47">
        <f t="shared" si="29"/>
        <v>7179.986000000001</v>
      </c>
      <c r="H208" s="47">
        <f t="shared" si="29"/>
        <v>7373.116</v>
      </c>
      <c r="I208" s="47">
        <f t="shared" si="29"/>
        <v>6810.07</v>
      </c>
      <c r="J208" s="43"/>
      <c r="K208" s="7"/>
      <c r="L208" s="2"/>
      <c r="M208" s="2"/>
    </row>
    <row r="209" spans="1:13" ht="99">
      <c r="A209" s="43">
        <v>73</v>
      </c>
      <c r="B209" s="46" t="s">
        <v>63</v>
      </c>
      <c r="C209" s="47">
        <f>SUM(D209:I209)</f>
        <v>32807.836</v>
      </c>
      <c r="D209" s="47">
        <f>4713.322+167.185+1.681</f>
        <v>4882.188</v>
      </c>
      <c r="E209" s="47">
        <v>5367.51</v>
      </c>
      <c r="F209" s="47">
        <v>5721.178</v>
      </c>
      <c r="G209" s="47">
        <v>5612.35</v>
      </c>
      <c r="H209" s="47">
        <v>5835.48</v>
      </c>
      <c r="I209" s="47">
        <v>5389.13</v>
      </c>
      <c r="J209" s="43" t="s">
        <v>87</v>
      </c>
      <c r="K209" s="7"/>
      <c r="L209" s="2"/>
      <c r="M209" s="2"/>
    </row>
    <row r="210" spans="1:13" ht="102.75" customHeight="1">
      <c r="A210" s="43">
        <v>74</v>
      </c>
      <c r="B210" s="46" t="s">
        <v>89</v>
      </c>
      <c r="C210" s="47">
        <f>SUM(D210:I210)</f>
        <v>7470.012000000001</v>
      </c>
      <c r="D210" s="47">
        <v>0</v>
      </c>
      <c r="E210" s="47">
        <v>1394.3</v>
      </c>
      <c r="F210" s="47">
        <v>1549.5</v>
      </c>
      <c r="G210" s="47">
        <v>1567.636</v>
      </c>
      <c r="H210" s="47">
        <v>1537.636</v>
      </c>
      <c r="I210" s="47">
        <v>1420.94</v>
      </c>
      <c r="J210" s="43" t="s">
        <v>87</v>
      </c>
      <c r="K210" s="7"/>
      <c r="L210" s="2"/>
      <c r="M210" s="2"/>
    </row>
    <row r="211" spans="1:13" ht="99">
      <c r="A211" s="41">
        <v>75</v>
      </c>
      <c r="B211" s="44" t="s">
        <v>92</v>
      </c>
      <c r="C211" s="45">
        <f>SUM(D211:I211)</f>
        <v>1532.914</v>
      </c>
      <c r="D211" s="45">
        <f aca="true" t="shared" si="30" ref="D211:I211">D215</f>
        <v>0</v>
      </c>
      <c r="E211" s="45">
        <f>E215+E212</f>
        <v>639.22</v>
      </c>
      <c r="F211" s="45">
        <f t="shared" si="30"/>
        <v>893.694</v>
      </c>
      <c r="G211" s="45">
        <f t="shared" si="30"/>
        <v>0</v>
      </c>
      <c r="H211" s="45">
        <f t="shared" si="30"/>
        <v>0</v>
      </c>
      <c r="I211" s="45">
        <f t="shared" si="30"/>
        <v>0</v>
      </c>
      <c r="J211" s="41" t="s">
        <v>96</v>
      </c>
      <c r="K211" s="7"/>
      <c r="L211" s="2"/>
      <c r="M211" s="2"/>
    </row>
    <row r="212" spans="1:13" ht="33">
      <c r="A212" s="43">
        <v>76</v>
      </c>
      <c r="B212" s="46" t="s">
        <v>4</v>
      </c>
      <c r="C212" s="47">
        <f aca="true" t="shared" si="31" ref="C212:C225">SUM(D212:I212)</f>
        <v>300</v>
      </c>
      <c r="D212" s="47">
        <v>0</v>
      </c>
      <c r="E212" s="47">
        <f>E213</f>
        <v>300</v>
      </c>
      <c r="F212" s="47">
        <v>0</v>
      </c>
      <c r="G212" s="47">
        <v>0</v>
      </c>
      <c r="H212" s="47">
        <v>0</v>
      </c>
      <c r="I212" s="47">
        <v>0</v>
      </c>
      <c r="J212" s="43"/>
      <c r="K212" s="7"/>
      <c r="L212" s="2"/>
      <c r="M212" s="2"/>
    </row>
    <row r="213" spans="1:10" ht="33">
      <c r="A213" s="54">
        <v>77</v>
      </c>
      <c r="B213" s="46" t="s">
        <v>10</v>
      </c>
      <c r="C213" s="47">
        <f>SUM(D213:I213)</f>
        <v>300</v>
      </c>
      <c r="D213" s="47">
        <v>0</v>
      </c>
      <c r="E213" s="47">
        <v>300</v>
      </c>
      <c r="F213" s="47">
        <v>0</v>
      </c>
      <c r="G213" s="47">
        <v>0</v>
      </c>
      <c r="H213" s="47">
        <v>0</v>
      </c>
      <c r="I213" s="47">
        <v>0</v>
      </c>
      <c r="J213" s="54"/>
    </row>
    <row r="214" spans="1:13" ht="33">
      <c r="A214" s="43">
        <v>78</v>
      </c>
      <c r="B214" s="46" t="s">
        <v>1</v>
      </c>
      <c r="C214" s="47">
        <f t="shared" si="31"/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3"/>
      <c r="K214" s="7"/>
      <c r="L214" s="2"/>
      <c r="M214" s="2"/>
    </row>
    <row r="215" spans="1:13" ht="33">
      <c r="A215" s="43">
        <v>79</v>
      </c>
      <c r="B215" s="46" t="s">
        <v>5</v>
      </c>
      <c r="C215" s="47">
        <f>SUM(D215:I215)</f>
        <v>1232.914</v>
      </c>
      <c r="D215" s="47">
        <f>D220+D216+D217+D219</f>
        <v>0</v>
      </c>
      <c r="E215" s="47">
        <f>E220+E216+E217+E219</f>
        <v>339.22</v>
      </c>
      <c r="F215" s="47">
        <f>F220+F216+F217+F219+F218</f>
        <v>893.694</v>
      </c>
      <c r="G215" s="47">
        <f>G220+G216+G217+G219</f>
        <v>0</v>
      </c>
      <c r="H215" s="47">
        <f>H220+H216+H217+H219</f>
        <v>0</v>
      </c>
      <c r="I215" s="47">
        <f>I220+I216+I217+I219</f>
        <v>0</v>
      </c>
      <c r="J215" s="43"/>
      <c r="K215" s="7"/>
      <c r="L215" s="2"/>
      <c r="M215" s="2"/>
    </row>
    <row r="216" spans="1:10" ht="33">
      <c r="A216" s="54">
        <v>80</v>
      </c>
      <c r="B216" s="46" t="s">
        <v>71</v>
      </c>
      <c r="C216" s="47">
        <f t="shared" si="31"/>
        <v>324.22</v>
      </c>
      <c r="D216" s="47">
        <v>0</v>
      </c>
      <c r="E216" s="47">
        <v>294.22</v>
      </c>
      <c r="F216" s="47">
        <v>30</v>
      </c>
      <c r="G216" s="47">
        <v>0</v>
      </c>
      <c r="H216" s="47">
        <v>0</v>
      </c>
      <c r="I216" s="47">
        <v>0</v>
      </c>
      <c r="J216" s="54"/>
    </row>
    <row r="217" spans="1:10" ht="33">
      <c r="A217" s="54">
        <v>81</v>
      </c>
      <c r="B217" s="46" t="s">
        <v>10</v>
      </c>
      <c r="C217" s="47">
        <f t="shared" si="31"/>
        <v>30</v>
      </c>
      <c r="D217" s="47">
        <v>0</v>
      </c>
      <c r="E217" s="47">
        <v>30</v>
      </c>
      <c r="F217" s="47">
        <v>0</v>
      </c>
      <c r="G217" s="47">
        <v>0</v>
      </c>
      <c r="H217" s="47">
        <v>0</v>
      </c>
      <c r="I217" s="47">
        <v>0</v>
      </c>
      <c r="J217" s="54"/>
    </row>
    <row r="218" spans="1:10" ht="33">
      <c r="A218" s="54">
        <v>82</v>
      </c>
      <c r="B218" s="46" t="s">
        <v>70</v>
      </c>
      <c r="C218" s="47">
        <f>SUM(D218:I218)</f>
        <v>484.281</v>
      </c>
      <c r="D218" s="47">
        <v>0</v>
      </c>
      <c r="E218" s="47">
        <v>0</v>
      </c>
      <c r="F218" s="47">
        <v>484.281</v>
      </c>
      <c r="G218" s="47">
        <v>0</v>
      </c>
      <c r="H218" s="47">
        <v>0</v>
      </c>
      <c r="I218" s="47">
        <v>0</v>
      </c>
      <c r="J218" s="54"/>
    </row>
    <row r="219" spans="1:10" ht="66">
      <c r="A219" s="54">
        <v>83</v>
      </c>
      <c r="B219" s="46" t="s">
        <v>12</v>
      </c>
      <c r="C219" s="47">
        <f>SUM(D219:I219)</f>
        <v>0</v>
      </c>
      <c r="D219" s="47">
        <v>0</v>
      </c>
      <c r="E219" s="47">
        <v>0</v>
      </c>
      <c r="F219" s="47">
        <f>58.5-58.5</f>
        <v>0</v>
      </c>
      <c r="G219" s="47">
        <v>0</v>
      </c>
      <c r="H219" s="47">
        <v>0</v>
      </c>
      <c r="I219" s="47">
        <v>0</v>
      </c>
      <c r="J219" s="54"/>
    </row>
    <row r="220" spans="1:10" ht="33">
      <c r="A220" s="54">
        <v>84</v>
      </c>
      <c r="B220" s="46" t="s">
        <v>94</v>
      </c>
      <c r="C220" s="47">
        <f t="shared" si="31"/>
        <v>394.413</v>
      </c>
      <c r="D220" s="47">
        <v>0</v>
      </c>
      <c r="E220" s="47">
        <f>100-85</f>
        <v>15</v>
      </c>
      <c r="F220" s="47">
        <v>379.413</v>
      </c>
      <c r="G220" s="47">
        <v>0</v>
      </c>
      <c r="H220" s="47">
        <v>0</v>
      </c>
      <c r="I220" s="47">
        <v>0</v>
      </c>
      <c r="J220" s="54"/>
    </row>
    <row r="221" spans="1:13" ht="132.75" customHeight="1">
      <c r="A221" s="41">
        <v>85</v>
      </c>
      <c r="B221" s="44" t="s">
        <v>91</v>
      </c>
      <c r="C221" s="45">
        <f>SUM(D221:I221)</f>
        <v>42.3</v>
      </c>
      <c r="D221" s="45">
        <f aca="true" t="shared" si="32" ref="D221:I221">D224</f>
        <v>0</v>
      </c>
      <c r="E221" s="45">
        <f t="shared" si="32"/>
        <v>42.3</v>
      </c>
      <c r="F221" s="45">
        <f t="shared" si="32"/>
        <v>0</v>
      </c>
      <c r="G221" s="45">
        <f t="shared" si="32"/>
        <v>0</v>
      </c>
      <c r="H221" s="45">
        <f t="shared" si="32"/>
        <v>0</v>
      </c>
      <c r="I221" s="45">
        <f t="shared" si="32"/>
        <v>0</v>
      </c>
      <c r="J221" s="41" t="s">
        <v>96</v>
      </c>
      <c r="K221" s="7"/>
      <c r="L221" s="2"/>
      <c r="M221" s="2"/>
    </row>
    <row r="222" spans="1:13" ht="33">
      <c r="A222" s="43">
        <v>86</v>
      </c>
      <c r="B222" s="46" t="s">
        <v>4</v>
      </c>
      <c r="C222" s="47">
        <f t="shared" si="31"/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3"/>
      <c r="K222" s="7"/>
      <c r="L222" s="2"/>
      <c r="M222" s="2"/>
    </row>
    <row r="223" spans="1:13" ht="33">
      <c r="A223" s="43">
        <v>87</v>
      </c>
      <c r="B223" s="46" t="s">
        <v>1</v>
      </c>
      <c r="C223" s="47">
        <f t="shared" si="31"/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3"/>
      <c r="K223" s="7"/>
      <c r="L223" s="2"/>
      <c r="M223" s="2"/>
    </row>
    <row r="224" spans="1:13" ht="66">
      <c r="A224" s="43">
        <v>88</v>
      </c>
      <c r="B224" s="46" t="s">
        <v>74</v>
      </c>
      <c r="C224" s="47">
        <f t="shared" si="31"/>
        <v>42.3</v>
      </c>
      <c r="D224" s="47">
        <v>0</v>
      </c>
      <c r="E224" s="47">
        <f>E225</f>
        <v>42.3</v>
      </c>
      <c r="F224" s="47">
        <v>0</v>
      </c>
      <c r="G224" s="47">
        <v>0</v>
      </c>
      <c r="H224" s="47">
        <v>0</v>
      </c>
      <c r="I224" s="47">
        <v>0</v>
      </c>
      <c r="J224" s="43"/>
      <c r="K224" s="7"/>
      <c r="L224" s="2"/>
      <c r="M224" s="2"/>
    </row>
    <row r="225" spans="1:10" ht="33">
      <c r="A225" s="54">
        <v>89</v>
      </c>
      <c r="B225" s="46" t="s">
        <v>97</v>
      </c>
      <c r="C225" s="47">
        <f t="shared" si="31"/>
        <v>42.3</v>
      </c>
      <c r="D225" s="47">
        <v>0</v>
      </c>
      <c r="E225" s="47">
        <f>50-7.7</f>
        <v>42.3</v>
      </c>
      <c r="F225" s="47">
        <v>0</v>
      </c>
      <c r="G225" s="47">
        <v>0</v>
      </c>
      <c r="H225" s="47">
        <v>0</v>
      </c>
      <c r="I225" s="47">
        <v>0</v>
      </c>
      <c r="J225" s="55" t="s">
        <v>96</v>
      </c>
    </row>
    <row r="226" spans="1:10" ht="30.75">
      <c r="A226" s="28"/>
      <c r="B226" s="28"/>
      <c r="C226" s="32"/>
      <c r="D226" s="28"/>
      <c r="E226" s="28"/>
      <c r="F226" s="28"/>
      <c r="G226" s="28"/>
      <c r="H226" s="28"/>
      <c r="I226" s="28"/>
      <c r="J226" s="28"/>
    </row>
    <row r="227" spans="1:10" ht="30.75">
      <c r="A227" s="28"/>
      <c r="B227" s="28"/>
      <c r="C227" s="32"/>
      <c r="D227" s="28"/>
      <c r="E227" s="28"/>
      <c r="F227" s="28"/>
      <c r="G227" s="28"/>
      <c r="H227" s="28"/>
      <c r="I227" s="28"/>
      <c r="J227" s="28"/>
    </row>
    <row r="228" spans="1:10" ht="30.75">
      <c r="A228" s="28"/>
      <c r="B228" s="28"/>
      <c r="C228" s="32"/>
      <c r="D228" s="28"/>
      <c r="E228" s="28"/>
      <c r="F228" s="28"/>
      <c r="G228" s="28"/>
      <c r="H228" s="28"/>
      <c r="I228" s="28"/>
      <c r="J228" s="28"/>
    </row>
    <row r="229" spans="1:10" ht="30.75">
      <c r="A229" s="28"/>
      <c r="B229" s="28"/>
      <c r="C229" s="32"/>
      <c r="D229" s="28"/>
      <c r="E229" s="28"/>
      <c r="F229" s="28"/>
      <c r="G229" s="28"/>
      <c r="H229" s="28"/>
      <c r="I229" s="28"/>
      <c r="J229" s="28"/>
    </row>
    <row r="230" spans="1:10" ht="30.75">
      <c r="A230" s="28"/>
      <c r="B230" s="28"/>
      <c r="C230" s="32"/>
      <c r="D230" s="28"/>
      <c r="E230" s="28"/>
      <c r="F230" s="28"/>
      <c r="G230" s="28"/>
      <c r="H230" s="28"/>
      <c r="I230" s="28"/>
      <c r="J230" s="28"/>
    </row>
    <row r="231" spans="1:10" ht="30.75">
      <c r="A231" s="28"/>
      <c r="B231" s="28"/>
      <c r="C231" s="32"/>
      <c r="D231" s="28"/>
      <c r="E231" s="28"/>
      <c r="F231" s="28"/>
      <c r="G231" s="28"/>
      <c r="H231" s="28"/>
      <c r="I231" s="28"/>
      <c r="J231" s="28"/>
    </row>
    <row r="232" spans="1:13" s="3" customFormat="1" ht="60">
      <c r="A232" s="31">
        <v>49</v>
      </c>
      <c r="B232" s="29" t="s">
        <v>62</v>
      </c>
      <c r="C232" s="30">
        <f>C233+C236+C239+C242+C245+C248+C251+C254+C257+C260</f>
        <v>1145448.5370166001</v>
      </c>
      <c r="D232" s="30">
        <f aca="true" t="shared" si="33" ref="D232:I232">D233+D236+D239+D242+D245+D248+D251+D254+D257+D260</f>
        <v>118248.9</v>
      </c>
      <c r="E232" s="30">
        <f t="shared" si="33"/>
        <v>141352.8</v>
      </c>
      <c r="F232" s="30">
        <f t="shared" si="33"/>
        <v>168067.09999999998</v>
      </c>
      <c r="G232" s="30">
        <f t="shared" si="33"/>
        <v>199409.666</v>
      </c>
      <c r="H232" s="30">
        <f t="shared" si="33"/>
        <v>236831.74246</v>
      </c>
      <c r="I232" s="30">
        <f t="shared" si="33"/>
        <v>281538.32855659997</v>
      </c>
      <c r="J232" s="31"/>
      <c r="K232" s="7"/>
      <c r="M232" s="1"/>
    </row>
    <row r="233" spans="1:13" s="3" customFormat="1" ht="30">
      <c r="A233" s="31">
        <v>50</v>
      </c>
      <c r="B233" s="29" t="s">
        <v>6</v>
      </c>
      <c r="C233" s="30">
        <f>SUM(D233:I233)</f>
        <v>393130.6232</v>
      </c>
      <c r="D233" s="30">
        <f aca="true" t="shared" si="34" ref="D233:I233">D234+D235</f>
        <v>39219.1</v>
      </c>
      <c r="E233" s="30">
        <f t="shared" si="34"/>
        <v>47493.2</v>
      </c>
      <c r="F233" s="30">
        <f t="shared" si="34"/>
        <v>57082.4</v>
      </c>
      <c r="G233" s="30">
        <f t="shared" si="34"/>
        <v>68498.88</v>
      </c>
      <c r="H233" s="30">
        <f t="shared" si="34"/>
        <v>82198.656</v>
      </c>
      <c r="I233" s="30">
        <f t="shared" si="34"/>
        <v>98638.3872</v>
      </c>
      <c r="J233" s="31"/>
      <c r="K233" s="7"/>
      <c r="M233" s="1"/>
    </row>
    <row r="234" spans="1:13" s="3" customFormat="1" ht="60">
      <c r="A234" s="31"/>
      <c r="B234" s="29" t="s">
        <v>60</v>
      </c>
      <c r="C234" s="30">
        <f>SUM(D234:I234)</f>
        <v>393130.6232</v>
      </c>
      <c r="D234" s="30">
        <v>39219.1</v>
      </c>
      <c r="E234" s="30">
        <v>47493.2</v>
      </c>
      <c r="F234" s="30">
        <v>57082.4</v>
      </c>
      <c r="G234" s="30">
        <f>F234*1.2</f>
        <v>68498.88</v>
      </c>
      <c r="H234" s="30">
        <f>G234*1.2</f>
        <v>82198.656</v>
      </c>
      <c r="I234" s="30">
        <f>H234*1.2</f>
        <v>98638.3872</v>
      </c>
      <c r="J234" s="31"/>
      <c r="K234" s="7"/>
      <c r="M234" s="1"/>
    </row>
    <row r="235" spans="1:13" s="3" customFormat="1" ht="30">
      <c r="A235" s="31"/>
      <c r="B235" s="29" t="s">
        <v>61</v>
      </c>
      <c r="C235" s="30">
        <f>SUM(D235:I235)</f>
        <v>0</v>
      </c>
      <c r="D235" s="30"/>
      <c r="E235" s="30"/>
      <c r="F235" s="30"/>
      <c r="G235" s="30"/>
      <c r="H235" s="30"/>
      <c r="I235" s="30"/>
      <c r="J235" s="31"/>
      <c r="K235" s="7"/>
      <c r="M235" s="1"/>
    </row>
    <row r="236" spans="1:13" s="3" customFormat="1" ht="30">
      <c r="A236" s="31">
        <v>51</v>
      </c>
      <c r="B236" s="29" t="s">
        <v>7</v>
      </c>
      <c r="C236" s="30">
        <f aca="true" t="shared" si="35" ref="C236:C257">SUM(D236:I236)</f>
        <v>240458.15121660003</v>
      </c>
      <c r="D236" s="30">
        <f aca="true" t="shared" si="36" ref="D236:I236">D237+D238</f>
        <v>23245.2</v>
      </c>
      <c r="E236" s="30">
        <f t="shared" si="36"/>
        <v>28680.9</v>
      </c>
      <c r="F236" s="30">
        <f t="shared" si="36"/>
        <v>34620.6</v>
      </c>
      <c r="G236" s="30">
        <f t="shared" si="36"/>
        <v>41890.926</v>
      </c>
      <c r="H236" s="30">
        <f t="shared" si="36"/>
        <v>50688.02046</v>
      </c>
      <c r="I236" s="30">
        <f t="shared" si="36"/>
        <v>61332.5047566</v>
      </c>
      <c r="J236" s="31"/>
      <c r="K236" s="7"/>
      <c r="M236" s="1"/>
    </row>
    <row r="237" spans="1:13" s="3" customFormat="1" ht="60">
      <c r="A237" s="31"/>
      <c r="B237" s="29" t="s">
        <v>60</v>
      </c>
      <c r="C237" s="30">
        <f t="shared" si="35"/>
        <v>240458.15121660003</v>
      </c>
      <c r="D237" s="30">
        <v>23245.2</v>
      </c>
      <c r="E237" s="30">
        <v>28680.9</v>
      </c>
      <c r="F237" s="30">
        <v>34620.6</v>
      </c>
      <c r="G237" s="30">
        <f>F237*1.21</f>
        <v>41890.926</v>
      </c>
      <c r="H237" s="30">
        <f>G237*1.21</f>
        <v>50688.02046</v>
      </c>
      <c r="I237" s="30">
        <f>H237*1.21</f>
        <v>61332.5047566</v>
      </c>
      <c r="J237" s="31"/>
      <c r="K237" s="7"/>
      <c r="M237" s="1"/>
    </row>
    <row r="238" spans="1:13" s="3" customFormat="1" ht="30">
      <c r="A238" s="31"/>
      <c r="B238" s="29" t="s">
        <v>61</v>
      </c>
      <c r="C238" s="30">
        <f t="shared" si="35"/>
        <v>0</v>
      </c>
      <c r="D238" s="30"/>
      <c r="E238" s="30"/>
      <c r="F238" s="30"/>
      <c r="G238" s="30"/>
      <c r="H238" s="30"/>
      <c r="I238" s="30"/>
      <c r="J238" s="31"/>
      <c r="K238" s="7"/>
      <c r="M238" s="1"/>
    </row>
    <row r="239" spans="1:13" s="3" customFormat="1" ht="30">
      <c r="A239" s="31">
        <v>52</v>
      </c>
      <c r="B239" s="29" t="s">
        <v>8</v>
      </c>
      <c r="C239" s="30">
        <f t="shared" si="35"/>
        <v>74316.616</v>
      </c>
      <c r="D239" s="30">
        <f aca="true" t="shared" si="37" ref="D239:I239">D240+D241</f>
        <v>7394.8</v>
      </c>
      <c r="E239" s="30">
        <f t="shared" si="37"/>
        <v>9017.2</v>
      </c>
      <c r="F239" s="30">
        <f t="shared" si="37"/>
        <v>10787</v>
      </c>
      <c r="G239" s="30">
        <f t="shared" si="37"/>
        <v>12944.4</v>
      </c>
      <c r="H239" s="30">
        <f t="shared" si="37"/>
        <v>15533.279999999999</v>
      </c>
      <c r="I239" s="30">
        <f t="shared" si="37"/>
        <v>18639.935999999998</v>
      </c>
      <c r="J239" s="31"/>
      <c r="K239" s="7"/>
      <c r="M239" s="1"/>
    </row>
    <row r="240" spans="1:13" s="3" customFormat="1" ht="60">
      <c r="A240" s="31"/>
      <c r="B240" s="29" t="s">
        <v>60</v>
      </c>
      <c r="C240" s="30">
        <f t="shared" si="35"/>
        <v>74316.616</v>
      </c>
      <c r="D240" s="30">
        <v>7394.8</v>
      </c>
      <c r="E240" s="30">
        <v>9017.2</v>
      </c>
      <c r="F240" s="30">
        <v>10787</v>
      </c>
      <c r="G240" s="30">
        <f>F240*1.2</f>
        <v>12944.4</v>
      </c>
      <c r="H240" s="30">
        <f>G240*1.2</f>
        <v>15533.279999999999</v>
      </c>
      <c r="I240" s="30">
        <f>H240*1.2</f>
        <v>18639.935999999998</v>
      </c>
      <c r="J240" s="31"/>
      <c r="K240" s="7"/>
      <c r="M240" s="1"/>
    </row>
    <row r="241" spans="1:13" s="3" customFormat="1" ht="30">
      <c r="A241" s="31"/>
      <c r="B241" s="29" t="s">
        <v>61</v>
      </c>
      <c r="C241" s="30">
        <f t="shared" si="35"/>
        <v>0</v>
      </c>
      <c r="D241" s="30"/>
      <c r="E241" s="30"/>
      <c r="F241" s="30"/>
      <c r="G241" s="30"/>
      <c r="H241" s="30"/>
      <c r="I241" s="30"/>
      <c r="J241" s="31"/>
      <c r="K241" s="7"/>
      <c r="M241" s="1"/>
    </row>
    <row r="242" spans="1:13" s="3" customFormat="1" ht="30">
      <c r="A242" s="31">
        <v>53</v>
      </c>
      <c r="B242" s="29" t="s">
        <v>9</v>
      </c>
      <c r="C242" s="30">
        <f t="shared" si="35"/>
        <v>51082.835999999996</v>
      </c>
      <c r="D242" s="30">
        <f aca="true" t="shared" si="38" ref="D242:I242">D243+D244</f>
        <v>5073.9</v>
      </c>
      <c r="E242" s="30">
        <f t="shared" si="38"/>
        <v>6140.8</v>
      </c>
      <c r="F242" s="30">
        <f t="shared" si="38"/>
        <v>7427</v>
      </c>
      <c r="G242" s="30">
        <f t="shared" si="38"/>
        <v>8912.4</v>
      </c>
      <c r="H242" s="30">
        <f t="shared" si="38"/>
        <v>10694.88</v>
      </c>
      <c r="I242" s="30">
        <f t="shared" si="38"/>
        <v>12833.855999999998</v>
      </c>
      <c r="J242" s="31"/>
      <c r="K242" s="7"/>
      <c r="M242" s="1"/>
    </row>
    <row r="243" spans="1:13" s="3" customFormat="1" ht="60">
      <c r="A243" s="31"/>
      <c r="B243" s="29" t="s">
        <v>60</v>
      </c>
      <c r="C243" s="30">
        <f t="shared" si="35"/>
        <v>51082.835999999996</v>
      </c>
      <c r="D243" s="30">
        <v>5073.9</v>
      </c>
      <c r="E243" s="30">
        <v>6140.8</v>
      </c>
      <c r="F243" s="30">
        <v>7427</v>
      </c>
      <c r="G243" s="30">
        <f>F243*1.2</f>
        <v>8912.4</v>
      </c>
      <c r="H243" s="30">
        <f>G243*1.2</f>
        <v>10694.88</v>
      </c>
      <c r="I243" s="30">
        <f>H243*1.2</f>
        <v>12833.855999999998</v>
      </c>
      <c r="J243" s="31"/>
      <c r="K243" s="7"/>
      <c r="M243" s="1"/>
    </row>
    <row r="244" spans="1:13" s="3" customFormat="1" ht="30">
      <c r="A244" s="31"/>
      <c r="B244" s="29" t="s">
        <v>61</v>
      </c>
      <c r="C244" s="30">
        <f t="shared" si="35"/>
        <v>0</v>
      </c>
      <c r="D244" s="30"/>
      <c r="E244" s="30"/>
      <c r="F244" s="30"/>
      <c r="G244" s="30"/>
      <c r="H244" s="30"/>
      <c r="I244" s="30"/>
      <c r="J244" s="31"/>
      <c r="K244" s="7"/>
      <c r="M244" s="1"/>
    </row>
    <row r="245" spans="1:13" s="3" customFormat="1" ht="30">
      <c r="A245" s="31">
        <v>54</v>
      </c>
      <c r="B245" s="29" t="s">
        <v>10</v>
      </c>
      <c r="C245" s="30">
        <f t="shared" si="35"/>
        <v>60128.4712</v>
      </c>
      <c r="D245" s="30">
        <f aca="true" t="shared" si="39" ref="D245:I245">D246+D247</f>
        <v>5906.9</v>
      </c>
      <c r="E245" s="30">
        <f t="shared" si="39"/>
        <v>7219.9</v>
      </c>
      <c r="F245" s="30">
        <f t="shared" si="39"/>
        <v>8755.9</v>
      </c>
      <c r="G245" s="30">
        <f t="shared" si="39"/>
        <v>10507.08</v>
      </c>
      <c r="H245" s="30">
        <f t="shared" si="39"/>
        <v>12608.496</v>
      </c>
      <c r="I245" s="30">
        <f t="shared" si="39"/>
        <v>15130.195199999998</v>
      </c>
      <c r="J245" s="31"/>
      <c r="K245" s="7"/>
      <c r="M245" s="1"/>
    </row>
    <row r="246" spans="1:13" s="3" customFormat="1" ht="60">
      <c r="A246" s="31"/>
      <c r="B246" s="29" t="s">
        <v>60</v>
      </c>
      <c r="C246" s="30">
        <f t="shared" si="35"/>
        <v>60128.4712</v>
      </c>
      <c r="D246" s="30">
        <v>5906.9</v>
      </c>
      <c r="E246" s="30">
        <v>7219.9</v>
      </c>
      <c r="F246" s="30">
        <v>8755.9</v>
      </c>
      <c r="G246" s="30">
        <f>F246*1.2</f>
        <v>10507.08</v>
      </c>
      <c r="H246" s="30">
        <f>G246*1.2</f>
        <v>12608.496</v>
      </c>
      <c r="I246" s="30">
        <f>H246*1.2</f>
        <v>15130.195199999998</v>
      </c>
      <c r="J246" s="31"/>
      <c r="K246" s="7"/>
      <c r="M246" s="1"/>
    </row>
    <row r="247" spans="1:13" s="3" customFormat="1" ht="30">
      <c r="A247" s="31"/>
      <c r="B247" s="29" t="s">
        <v>61</v>
      </c>
      <c r="C247" s="30">
        <f t="shared" si="35"/>
        <v>0</v>
      </c>
      <c r="D247" s="30"/>
      <c r="E247" s="30"/>
      <c r="F247" s="30"/>
      <c r="G247" s="30"/>
      <c r="H247" s="30"/>
      <c r="I247" s="30"/>
      <c r="J247" s="31"/>
      <c r="K247" s="7"/>
      <c r="M247" s="1"/>
    </row>
    <row r="248" spans="1:13" s="3" customFormat="1" ht="30">
      <c r="A248" s="31">
        <v>55</v>
      </c>
      <c r="B248" s="29" t="s">
        <v>11</v>
      </c>
      <c r="C248" s="30">
        <f t="shared" si="35"/>
        <v>117152.86240000001</v>
      </c>
      <c r="D248" s="30">
        <f aca="true" t="shared" si="40" ref="D248:I248">D249+D250</f>
        <v>11585.7</v>
      </c>
      <c r="E248" s="30">
        <f t="shared" si="40"/>
        <v>14100.2</v>
      </c>
      <c r="F248" s="30">
        <f t="shared" si="40"/>
        <v>17039.3</v>
      </c>
      <c r="G248" s="30">
        <f t="shared" si="40"/>
        <v>20447.16</v>
      </c>
      <c r="H248" s="30">
        <f t="shared" si="40"/>
        <v>24536.592</v>
      </c>
      <c r="I248" s="30">
        <f t="shared" si="40"/>
        <v>29443.9104</v>
      </c>
      <c r="J248" s="31"/>
      <c r="K248" s="7"/>
      <c r="M248" s="1"/>
    </row>
    <row r="249" spans="1:13" s="3" customFormat="1" ht="60">
      <c r="A249" s="31"/>
      <c r="B249" s="29" t="s">
        <v>60</v>
      </c>
      <c r="C249" s="30">
        <f t="shared" si="35"/>
        <v>117152.86240000001</v>
      </c>
      <c r="D249" s="30">
        <v>11585.7</v>
      </c>
      <c r="E249" s="30">
        <v>14100.2</v>
      </c>
      <c r="F249" s="30">
        <v>17039.3</v>
      </c>
      <c r="G249" s="30">
        <f>F249*1.2</f>
        <v>20447.16</v>
      </c>
      <c r="H249" s="30">
        <f>G249*1.2</f>
        <v>24536.592</v>
      </c>
      <c r="I249" s="30">
        <f>H249*1.2</f>
        <v>29443.9104</v>
      </c>
      <c r="J249" s="31"/>
      <c r="K249" s="7"/>
      <c r="M249" s="1"/>
    </row>
    <row r="250" spans="1:13" s="3" customFormat="1" ht="30">
      <c r="A250" s="31"/>
      <c r="B250" s="29" t="s">
        <v>61</v>
      </c>
      <c r="C250" s="30">
        <f t="shared" si="35"/>
        <v>0</v>
      </c>
      <c r="D250" s="30"/>
      <c r="E250" s="30"/>
      <c r="F250" s="30"/>
      <c r="G250" s="30"/>
      <c r="H250" s="30"/>
      <c r="I250" s="30"/>
      <c r="J250" s="31"/>
      <c r="K250" s="7"/>
      <c r="M250" s="1"/>
    </row>
    <row r="251" spans="1:13" s="3" customFormat="1" ht="60">
      <c r="A251" s="31">
        <v>56</v>
      </c>
      <c r="B251" s="29" t="s">
        <v>12</v>
      </c>
      <c r="C251" s="30">
        <f t="shared" si="35"/>
        <v>42946.2224</v>
      </c>
      <c r="D251" s="30">
        <f aca="true" t="shared" si="41" ref="D251:I251">D252+D253</f>
        <v>4650.8</v>
      </c>
      <c r="E251" s="30">
        <f t="shared" si="41"/>
        <v>5098.1</v>
      </c>
      <c r="F251" s="30">
        <f t="shared" si="41"/>
        <v>6184.3</v>
      </c>
      <c r="G251" s="30">
        <f t="shared" si="41"/>
        <v>7421.16</v>
      </c>
      <c r="H251" s="30">
        <f t="shared" si="41"/>
        <v>8905.392</v>
      </c>
      <c r="I251" s="30">
        <f t="shared" si="41"/>
        <v>10686.4704</v>
      </c>
      <c r="J251" s="31"/>
      <c r="K251" s="7"/>
      <c r="M251" s="1"/>
    </row>
    <row r="252" spans="1:13" s="3" customFormat="1" ht="60">
      <c r="A252" s="31"/>
      <c r="B252" s="29" t="s">
        <v>60</v>
      </c>
      <c r="C252" s="30">
        <f t="shared" si="35"/>
        <v>42946.2224</v>
      </c>
      <c r="D252" s="30">
        <v>4650.8</v>
      </c>
      <c r="E252" s="30">
        <v>5098.1</v>
      </c>
      <c r="F252" s="30">
        <v>6184.3</v>
      </c>
      <c r="G252" s="30">
        <f>F252*1.2</f>
        <v>7421.16</v>
      </c>
      <c r="H252" s="30">
        <f>G252*1.2</f>
        <v>8905.392</v>
      </c>
      <c r="I252" s="30">
        <f>H252*1.2</f>
        <v>10686.4704</v>
      </c>
      <c r="J252" s="31"/>
      <c r="K252" s="7"/>
      <c r="M252" s="1"/>
    </row>
    <row r="253" spans="1:13" s="3" customFormat="1" ht="30">
      <c r="A253" s="31"/>
      <c r="B253" s="29" t="s">
        <v>61</v>
      </c>
      <c r="C253" s="30">
        <f t="shared" si="35"/>
        <v>0</v>
      </c>
      <c r="D253" s="30"/>
      <c r="E253" s="30"/>
      <c r="F253" s="30"/>
      <c r="G253" s="30"/>
      <c r="H253" s="30"/>
      <c r="I253" s="30"/>
      <c r="J253" s="31"/>
      <c r="K253" s="7"/>
      <c r="M253" s="1"/>
    </row>
    <row r="254" spans="1:13" s="3" customFormat="1" ht="30">
      <c r="A254" s="31">
        <v>57</v>
      </c>
      <c r="B254" s="29" t="s">
        <v>13</v>
      </c>
      <c r="C254" s="30">
        <f t="shared" si="35"/>
        <v>166232.75460000001</v>
      </c>
      <c r="D254" s="30">
        <f aca="true" t="shared" si="42" ref="D254:I254">D255+D256</f>
        <v>21172.5</v>
      </c>
      <c r="E254" s="30">
        <f t="shared" si="42"/>
        <v>23602.5</v>
      </c>
      <c r="F254" s="30">
        <f t="shared" si="42"/>
        <v>26170.6</v>
      </c>
      <c r="G254" s="30">
        <f t="shared" si="42"/>
        <v>28787.660000000003</v>
      </c>
      <c r="H254" s="30">
        <f t="shared" si="42"/>
        <v>31666.426000000003</v>
      </c>
      <c r="I254" s="30">
        <f t="shared" si="42"/>
        <v>34833.068600000006</v>
      </c>
      <c r="J254" s="31"/>
      <c r="K254" s="7"/>
      <c r="M254" s="1"/>
    </row>
    <row r="255" spans="1:13" s="3" customFormat="1" ht="60">
      <c r="A255" s="31"/>
      <c r="B255" s="29" t="s">
        <v>60</v>
      </c>
      <c r="C255" s="30">
        <f t="shared" si="35"/>
        <v>101815.42370000001</v>
      </c>
      <c r="D255" s="30">
        <v>12813.9</v>
      </c>
      <c r="E255" s="30">
        <v>14394.2</v>
      </c>
      <c r="F255" s="30">
        <v>16075.7</v>
      </c>
      <c r="G255" s="30">
        <f>F255*1.1</f>
        <v>17683.27</v>
      </c>
      <c r="H255" s="30">
        <f>G255*1.1</f>
        <v>19451.597</v>
      </c>
      <c r="I255" s="30">
        <f>H255*1.1</f>
        <v>21396.7567</v>
      </c>
      <c r="J255" s="31"/>
      <c r="K255" s="7"/>
      <c r="M255" s="1"/>
    </row>
    <row r="256" spans="1:13" s="3" customFormat="1" ht="30">
      <c r="A256" s="31"/>
      <c r="B256" s="29" t="s">
        <v>61</v>
      </c>
      <c r="C256" s="30">
        <f t="shared" si="35"/>
        <v>64417.3309</v>
      </c>
      <c r="D256" s="30">
        <v>8358.6</v>
      </c>
      <c r="E256" s="30">
        <v>9208.3</v>
      </c>
      <c r="F256" s="30">
        <v>10094.9</v>
      </c>
      <c r="G256" s="30">
        <v>11104.390000000001</v>
      </c>
      <c r="H256" s="30">
        <v>12214.829000000002</v>
      </c>
      <c r="I256" s="30">
        <v>13436.311900000002</v>
      </c>
      <c r="J256" s="31"/>
      <c r="K256" s="7"/>
      <c r="M256" s="1"/>
    </row>
    <row r="257" spans="1:13" s="3" customFormat="1" ht="30">
      <c r="A257" s="31">
        <v>58</v>
      </c>
      <c r="B257" s="29" t="s">
        <v>14</v>
      </c>
      <c r="C257" s="30">
        <f t="shared" si="35"/>
        <v>0</v>
      </c>
      <c r="D257" s="30">
        <f aca="true" t="shared" si="43" ref="D257:I257">D258+D259</f>
        <v>0</v>
      </c>
      <c r="E257" s="30">
        <f t="shared" si="43"/>
        <v>0</v>
      </c>
      <c r="F257" s="30">
        <f t="shared" si="43"/>
        <v>0</v>
      </c>
      <c r="G257" s="30">
        <f t="shared" si="43"/>
        <v>0</v>
      </c>
      <c r="H257" s="30">
        <f t="shared" si="43"/>
        <v>0</v>
      </c>
      <c r="I257" s="30">
        <f t="shared" si="43"/>
        <v>0</v>
      </c>
      <c r="J257" s="31"/>
      <c r="K257" s="7"/>
      <c r="M257" s="1"/>
    </row>
    <row r="258" spans="1:13" s="3" customFormat="1" ht="27.75">
      <c r="A258" s="25"/>
      <c r="B258" s="26"/>
      <c r="C258" s="27"/>
      <c r="D258" s="26"/>
      <c r="E258" s="26"/>
      <c r="F258" s="26"/>
      <c r="G258" s="26"/>
      <c r="H258" s="26"/>
      <c r="I258" s="26"/>
      <c r="J258" s="26"/>
      <c r="K258" s="7"/>
      <c r="M258" s="1"/>
    </row>
    <row r="259" spans="1:13" s="3" customFormat="1" ht="18.75">
      <c r="A259" s="8"/>
      <c r="B259" s="1"/>
      <c r="C259" s="15"/>
      <c r="D259" s="1"/>
      <c r="E259" s="1"/>
      <c r="F259" s="1"/>
      <c r="G259" s="1"/>
      <c r="H259" s="1"/>
      <c r="I259" s="1"/>
      <c r="J259" s="1"/>
      <c r="K259" s="7"/>
      <c r="M259" s="1"/>
    </row>
    <row r="260" spans="1:13" s="3" customFormat="1" ht="18.75">
      <c r="A260" s="8"/>
      <c r="B260" s="1"/>
      <c r="C260" s="15"/>
      <c r="D260" s="1"/>
      <c r="E260" s="1"/>
      <c r="F260" s="1"/>
      <c r="G260" s="1"/>
      <c r="H260" s="1"/>
      <c r="I260" s="1"/>
      <c r="J260" s="1"/>
      <c r="K260" s="7"/>
      <c r="M260" s="1"/>
    </row>
    <row r="261" spans="1:13" s="3" customFormat="1" ht="18.75">
      <c r="A261" s="8"/>
      <c r="B261" s="1"/>
      <c r="C261" s="15"/>
      <c r="D261" s="1"/>
      <c r="E261" s="1"/>
      <c r="F261" s="1"/>
      <c r="G261" s="1"/>
      <c r="H261" s="1"/>
      <c r="I261" s="1"/>
      <c r="J261" s="1"/>
      <c r="K261" s="7"/>
      <c r="M261" s="1"/>
    </row>
    <row r="262" spans="1:13" s="3" customFormat="1" ht="18.75">
      <c r="A262" s="8"/>
      <c r="B262" s="1"/>
      <c r="C262" s="15"/>
      <c r="D262" s="1"/>
      <c r="E262" s="1"/>
      <c r="F262" s="1"/>
      <c r="G262" s="1"/>
      <c r="H262" s="1"/>
      <c r="I262" s="1"/>
      <c r="J262" s="1"/>
      <c r="K262" s="7"/>
      <c r="M262" s="1"/>
    </row>
    <row r="263" spans="1:13" s="3" customFormat="1" ht="18.75">
      <c r="A263" s="8"/>
      <c r="B263" s="1"/>
      <c r="C263" s="15"/>
      <c r="D263" s="1"/>
      <c r="E263" s="1"/>
      <c r="F263" s="1"/>
      <c r="G263" s="1"/>
      <c r="H263" s="1"/>
      <c r="I263" s="1"/>
      <c r="J263" s="1"/>
      <c r="K263" s="7"/>
      <c r="M263" s="1"/>
    </row>
    <row r="264" spans="1:13" s="3" customFormat="1" ht="18.75">
      <c r="A264" s="8"/>
      <c r="B264" s="1"/>
      <c r="C264" s="15"/>
      <c r="D264" s="1"/>
      <c r="E264" s="1"/>
      <c r="F264" s="1"/>
      <c r="G264" s="1"/>
      <c r="H264" s="1"/>
      <c r="I264" s="1"/>
      <c r="J264" s="1"/>
      <c r="K264" s="7"/>
      <c r="M264" s="1"/>
    </row>
    <row r="265" spans="1:13" s="3" customFormat="1" ht="18.75">
      <c r="A265" s="8"/>
      <c r="B265" s="1"/>
      <c r="C265" s="15"/>
      <c r="D265" s="1"/>
      <c r="E265" s="1"/>
      <c r="F265" s="1"/>
      <c r="G265" s="1"/>
      <c r="H265" s="1"/>
      <c r="I265" s="1"/>
      <c r="J265" s="1"/>
      <c r="K265" s="7"/>
      <c r="M265" s="1"/>
    </row>
    <row r="266" spans="1:13" s="3" customFormat="1" ht="18.75">
      <c r="A266" s="8"/>
      <c r="B266" s="1"/>
      <c r="C266" s="15"/>
      <c r="D266" s="1"/>
      <c r="E266" s="1"/>
      <c r="F266" s="1"/>
      <c r="G266" s="1"/>
      <c r="H266" s="1"/>
      <c r="I266" s="1"/>
      <c r="J266" s="1"/>
      <c r="K266" s="7"/>
      <c r="M266" s="1"/>
    </row>
    <row r="267" spans="1:13" s="3" customFormat="1" ht="18.75">
      <c r="A267" s="8"/>
      <c r="B267" s="1"/>
      <c r="C267" s="15"/>
      <c r="D267" s="1"/>
      <c r="E267" s="1"/>
      <c r="F267" s="1"/>
      <c r="G267" s="1"/>
      <c r="H267" s="1"/>
      <c r="I267" s="1"/>
      <c r="J267" s="1"/>
      <c r="K267" s="7"/>
      <c r="M267" s="1"/>
    </row>
  </sheetData>
  <sheetProtection/>
  <autoFilter ref="A15:M181"/>
  <mergeCells count="12">
    <mergeCell ref="G5:J5"/>
    <mergeCell ref="G2:J2"/>
    <mergeCell ref="G1:J1"/>
    <mergeCell ref="G7:J7"/>
    <mergeCell ref="G6:J6"/>
    <mergeCell ref="G3:J3"/>
    <mergeCell ref="A10:A14"/>
    <mergeCell ref="B10:B14"/>
    <mergeCell ref="C10:I13"/>
    <mergeCell ref="J10:J14"/>
    <mergeCell ref="H8:J8"/>
    <mergeCell ref="A9:J9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41" r:id="rId1"/>
  <headerFooter>
    <oddHeader>&amp;C&amp;P</oddHeader>
    <evenHeader>&amp;C2</evenHeader>
    <firstHeader>&amp;C&amp;P</firstHeader>
  </headerFooter>
  <rowBreaks count="1" manualBreakCount="1"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kult-priem</cp:lastModifiedBy>
  <cp:lastPrinted>2017-08-09T08:28:11Z</cp:lastPrinted>
  <dcterms:created xsi:type="dcterms:W3CDTF">2010-08-25T12:40:26Z</dcterms:created>
  <dcterms:modified xsi:type="dcterms:W3CDTF">2017-08-09T08:29:34Z</dcterms:modified>
  <cp:category/>
  <cp:version/>
  <cp:contentType/>
  <cp:contentStatus/>
</cp:coreProperties>
</file>