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(2)'!$A$1:$J$252</definedName>
  </definedNames>
  <calcPr fullCalcOnLoad="1"/>
</workbook>
</file>

<file path=xl/sharedStrings.xml><?xml version="1.0" encoding="utf-8"?>
<sst xmlns="http://schemas.openxmlformats.org/spreadsheetml/2006/main" count="316" uniqueCount="115">
  <si>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</si>
  <si>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</si>
  <si>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</si>
  <si>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</si>
  <si>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</si>
  <si>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</si>
  <si>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</si>
  <si>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</si>
  <si>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</si>
  <si>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</si>
  <si>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</si>
  <si>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</si>
  <si>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</si>
  <si>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</si>
  <si>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</si>
  <si>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</si>
  <si>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</si>
  <si>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</si>
  <si>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</si>
  <si>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</si>
  <si>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</si>
  <si>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</si>
  <si>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</si>
  <si>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</si>
  <si>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</si>
  <si>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</si>
  <si>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</si>
  <si>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</si>
  <si>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</si>
  <si>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</si>
  <si>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</si>
  <si>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</si>
  <si>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</si>
  <si>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</si>
  <si>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</si>
  <si>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</si>
  <si>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</si>
  <si>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</si>
  <si>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</si>
  <si>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</si>
  <si>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</si>
  <si>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</si>
  <si>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</si>
  <si>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</si>
  <si>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</si>
  <si>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</si>
  <si>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</si>
  <si>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</si>
  <si>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</si>
  <si>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</si>
  <si>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</si>
  <si>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</si>
  <si>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</si>
  <si>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</si>
  <si>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</si>
  <si>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</si>
  <si>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</si>
  <si>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</si>
  <si>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</si>
  <si>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</si>
  <si>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</si>
  <si>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</si>
  <si>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</si>
  <si>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</si>
  <si>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</si>
  <si>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</si>
  <si>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</si>
  <si>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</si>
  <si>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</si>
  <si>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</si>
  <si>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</si>
  <si>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</si>
  <si>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</si>
  <si>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</si>
  <si>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</si>
  <si>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</si>
  <si>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</si>
  <si>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</si>
  <si>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</si>
  <si>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</si>
  <si>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</si>
  <si>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</si>
  <si>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</si>
  <si>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</si>
  <si>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</si>
  <si>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</si>
  <si>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</si>
  <si>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</si>
  <si>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</si>
  <si>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</si>
  <si>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</si>
  <si>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</si>
  <si>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</si>
  <si>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</si>
  <si>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</si>
  <si>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</si>
  <si>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</si>
  <si>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</si>
  <si>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</si>
  <si>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</si>
  <si>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</si>
  <si>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</si>
  <si>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</si>
  <si>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</si>
  <si>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</si>
  <si>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</si>
  <si>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Мероприятие 6.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всего, из них:</t>
  </si>
  <si>
    <t xml:space="preserve">Мероприятие 2.1.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</si>
  <si>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 xml:space="preserve">Мероприятие 2.2. Модернизация муниципальных общедоступных библиотек в части комплектования книжных фондов (на условиях софинансирования за счет средств областного и федерального бюджетов), всего, из них:  </t>
  </si>
  <si>
    <t>фыыыыыыыыыыыыыыыыыыыыыы</t>
  </si>
  <si>
    <t>МБУК АГО ДК "Угольщиков"</t>
  </si>
  <si>
    <t>14,17, 23, 36, 37</t>
  </si>
  <si>
    <t>Приложение</t>
  </si>
  <si>
    <t xml:space="preserve">Приложение </t>
  </si>
  <si>
    <t xml:space="preserve">от_                  №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</si>
</sst>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 vertical="top" wrapText="1"/>
    </xf>
    <xf numFmtId="178" fontId="9" fillId="0" borderId="11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8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8" fontId="12" fillId="0" borderId="10" xfId="0" applyNumberFormat="1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92"/>
  <sheetViews>
    <sheetView tabSelected="1" view="pageBreakPreview" zoomScale="36" zoomScaleNormal="36" zoomScaleSheetLayoutView="36" workbookViewId="0" topLeftCell="A1">
      <pane ySplit="15" topLeftCell="A16" activePane="bottomLeft" state="frozen"/>
      <selection pane="topLeft" activeCell="B1" sqref="B1"/>
      <selection pane="bottomLeft" activeCell="C249" sqref="C249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77" t="s">
        <v>113</v>
      </c>
      <c r="H1" s="77"/>
      <c r="I1" s="77"/>
      <c r="J1" s="77"/>
      <c r="K1" s="4"/>
    </row>
    <row r="2" spans="1:11" ht="70.5" customHeight="1">
      <c r="A2" s="25"/>
      <c r="B2" s="26"/>
      <c r="C2" s="27"/>
      <c r="E2" s="59"/>
      <c r="F2" s="59"/>
      <c r="G2" s="77" t="s">
        <v>99</v>
      </c>
      <c r="H2" s="77"/>
      <c r="I2" s="77"/>
      <c r="J2" s="77"/>
      <c r="K2" s="4"/>
    </row>
    <row r="3" spans="1:11" ht="33">
      <c r="A3" s="25"/>
      <c r="B3" s="26"/>
      <c r="C3" s="27"/>
      <c r="D3" s="59"/>
      <c r="E3" s="59"/>
      <c r="F3" s="59"/>
      <c r="G3" s="77" t="s">
        <v>114</v>
      </c>
      <c r="H3" s="77"/>
      <c r="I3" s="77"/>
      <c r="J3" s="77"/>
      <c r="K3" s="4"/>
    </row>
    <row r="4" spans="1:11" ht="33">
      <c r="A4" s="25"/>
      <c r="B4" s="26"/>
      <c r="C4" s="27"/>
      <c r="D4" s="28"/>
      <c r="E4" s="28"/>
      <c r="F4" s="28"/>
      <c r="G4" s="26" t="s">
        <v>112</v>
      </c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78" t="s">
        <v>100</v>
      </c>
      <c r="H5" s="78"/>
      <c r="I5" s="78"/>
      <c r="J5" s="78"/>
      <c r="K5" s="4"/>
    </row>
    <row r="6" spans="1:11" ht="33">
      <c r="A6" s="25"/>
      <c r="B6" s="26"/>
      <c r="C6" s="27"/>
      <c r="D6" s="26"/>
      <c r="E6" s="26"/>
      <c r="F6" s="26"/>
      <c r="G6" s="77" t="s">
        <v>101</v>
      </c>
      <c r="H6" s="77"/>
      <c r="I6" s="77"/>
      <c r="J6" s="77"/>
      <c r="K6" s="4"/>
    </row>
    <row r="7" spans="1:11" ht="33">
      <c r="A7" s="25"/>
      <c r="B7" s="26"/>
      <c r="C7" s="27"/>
      <c r="D7" s="26"/>
      <c r="E7" s="26"/>
      <c r="F7" s="26"/>
      <c r="G7" s="77" t="s">
        <v>102</v>
      </c>
      <c r="H7" s="77"/>
      <c r="I7" s="77"/>
      <c r="J7" s="77"/>
      <c r="K7" s="4"/>
    </row>
    <row r="8" spans="1:11" ht="33">
      <c r="A8" s="29"/>
      <c r="B8" s="30"/>
      <c r="C8" s="31"/>
      <c r="D8" s="64"/>
      <c r="E8" s="64"/>
      <c r="F8" s="64"/>
      <c r="G8" s="64"/>
      <c r="H8" s="64"/>
      <c r="I8" s="64"/>
      <c r="J8" s="64"/>
      <c r="K8" s="4"/>
    </row>
    <row r="9" spans="1:11" ht="110.25" customHeight="1">
      <c r="A9" s="65" t="s">
        <v>76</v>
      </c>
      <c r="B9" s="66"/>
      <c r="C9" s="66"/>
      <c r="D9" s="66"/>
      <c r="E9" s="66"/>
      <c r="F9" s="66"/>
      <c r="G9" s="66"/>
      <c r="H9" s="66"/>
      <c r="I9" s="66"/>
      <c r="J9" s="66"/>
      <c r="K9" s="5"/>
    </row>
    <row r="10" spans="1:12" s="17" customFormat="1" ht="42" customHeight="1">
      <c r="A10" s="67" t="s">
        <v>3</v>
      </c>
      <c r="B10" s="67" t="s">
        <v>52</v>
      </c>
      <c r="C10" s="68" t="s">
        <v>0</v>
      </c>
      <c r="D10" s="69"/>
      <c r="E10" s="69"/>
      <c r="F10" s="69"/>
      <c r="G10" s="69"/>
      <c r="H10" s="69"/>
      <c r="I10" s="70"/>
      <c r="J10" s="67" t="s">
        <v>53</v>
      </c>
      <c r="K10" s="23"/>
      <c r="L10" s="22"/>
    </row>
    <row r="11" spans="1:12" s="17" customFormat="1" ht="17.25" customHeight="1">
      <c r="A11" s="67"/>
      <c r="B11" s="67"/>
      <c r="C11" s="71"/>
      <c r="D11" s="72"/>
      <c r="E11" s="72"/>
      <c r="F11" s="72"/>
      <c r="G11" s="72"/>
      <c r="H11" s="72"/>
      <c r="I11" s="73"/>
      <c r="J11" s="67"/>
      <c r="K11" s="23"/>
      <c r="L11" s="22"/>
    </row>
    <row r="12" spans="1:12" s="17" customFormat="1" ht="17.25" customHeight="1">
      <c r="A12" s="67"/>
      <c r="B12" s="67"/>
      <c r="C12" s="71"/>
      <c r="D12" s="72"/>
      <c r="E12" s="72"/>
      <c r="F12" s="72"/>
      <c r="G12" s="72"/>
      <c r="H12" s="72"/>
      <c r="I12" s="73"/>
      <c r="J12" s="67"/>
      <c r="K12" s="23"/>
      <c r="L12" s="22"/>
    </row>
    <row r="13" spans="1:12" s="17" customFormat="1" ht="17.25" customHeight="1">
      <c r="A13" s="67"/>
      <c r="B13" s="67"/>
      <c r="C13" s="74"/>
      <c r="D13" s="75"/>
      <c r="E13" s="75"/>
      <c r="F13" s="75"/>
      <c r="G13" s="75"/>
      <c r="H13" s="75"/>
      <c r="I13" s="76"/>
      <c r="J13" s="67"/>
      <c r="K13" s="23"/>
      <c r="L13" s="22"/>
    </row>
    <row r="14" spans="1:12" s="17" customFormat="1" ht="135.75" customHeight="1">
      <c r="A14" s="67"/>
      <c r="B14" s="67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7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SUM(D16:I16)+0.1</f>
        <v>1196479.9248000002</v>
      </c>
      <c r="D16" s="60">
        <f aca="true" t="shared" si="0" ref="D16:I16">SUM(D17:D19)</f>
        <v>191626.20000000004</v>
      </c>
      <c r="E16" s="60">
        <f t="shared" si="0"/>
        <v>185637.98780000003</v>
      </c>
      <c r="F16" s="60">
        <f>SUM(F17:F19)</f>
        <v>193589.357</v>
      </c>
      <c r="G16" s="60">
        <f>SUM(G17:G19)</f>
        <v>212919.3</v>
      </c>
      <c r="H16" s="60">
        <f t="shared" si="0"/>
        <v>200530.98000000004</v>
      </c>
      <c r="I16" s="60">
        <f t="shared" si="0"/>
        <v>212176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280</v>
      </c>
      <c r="D17" s="61">
        <f aca="true" t="shared" si="1" ref="D17:I17">D21+D25</f>
        <v>0</v>
      </c>
      <c r="E17" s="61">
        <f t="shared" si="1"/>
        <v>0</v>
      </c>
      <c r="F17" s="61">
        <f t="shared" si="1"/>
        <v>0</v>
      </c>
      <c r="G17" s="61">
        <f t="shared" si="1"/>
        <v>280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23448.1</v>
      </c>
      <c r="D18" s="61">
        <f>D26</f>
        <v>4760.099999999999</v>
      </c>
      <c r="E18" s="61">
        <f>E30+E130+E151+E205+E193+E199+E210+E216+E222+E231</f>
        <v>315</v>
      </c>
      <c r="F18" s="61">
        <f>F26</f>
        <v>11110</v>
      </c>
      <c r="G18" s="61">
        <f>G26+G22</f>
        <v>7263</v>
      </c>
      <c r="H18" s="61">
        <f>H26</f>
        <v>0</v>
      </c>
      <c r="I18" s="61">
        <f>I26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SUM(D19:I19)+0.1</f>
        <v>1172751.8248</v>
      </c>
      <c r="D19" s="61">
        <f>D27</f>
        <v>186866.10000000003</v>
      </c>
      <c r="E19" s="61">
        <f>E27</f>
        <v>185322.98780000003</v>
      </c>
      <c r="F19" s="61">
        <f>F23+F27</f>
        <v>182479.357</v>
      </c>
      <c r="G19" s="61">
        <f>G23+G27</f>
        <v>205376.3</v>
      </c>
      <c r="H19" s="61">
        <f>H23+H27</f>
        <v>200530.98000000004</v>
      </c>
      <c r="I19" s="61">
        <f>I23+I27</f>
        <v>212176</v>
      </c>
      <c r="J19" s="34"/>
      <c r="K19" s="7"/>
      <c r="L19" s="2"/>
      <c r="M19" s="2"/>
    </row>
    <row r="20" spans="1:13" ht="33">
      <c r="A20" s="34">
        <v>5</v>
      </c>
      <c r="B20" s="36" t="s">
        <v>78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79</v>
      </c>
      <c r="C24" s="61">
        <f aca="true" t="shared" si="3" ref="C24:I24">SUM(C25:C27)</f>
        <v>1196479.9248000002</v>
      </c>
      <c r="D24" s="61">
        <f t="shared" si="3"/>
        <v>191626.20000000004</v>
      </c>
      <c r="E24" s="61">
        <f t="shared" si="3"/>
        <v>185637.98780000003</v>
      </c>
      <c r="F24" s="61">
        <f t="shared" si="3"/>
        <v>193589.357</v>
      </c>
      <c r="G24" s="61">
        <f>SUM(G25:G27)</f>
        <v>212919.3</v>
      </c>
      <c r="H24" s="61">
        <f t="shared" si="3"/>
        <v>200530.98000000004</v>
      </c>
      <c r="I24" s="61">
        <f t="shared" si="3"/>
        <v>212176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280</v>
      </c>
      <c r="D25" s="61">
        <f aca="true" t="shared" si="4" ref="D25:I25">D29+D150+D192+D198+D204+D209+D230+D215+D221+D113+D238+D246</f>
        <v>0</v>
      </c>
      <c r="E25" s="61">
        <f t="shared" si="4"/>
        <v>0</v>
      </c>
      <c r="F25" s="61">
        <f t="shared" si="4"/>
        <v>0</v>
      </c>
      <c r="G25" s="61">
        <f t="shared" si="4"/>
        <v>280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23448.1</v>
      </c>
      <c r="D26" s="61">
        <f>D30+D151+D205+D193+D199+D210+D216+D222+D231+D115+D239+D247</f>
        <v>4760.099999999999</v>
      </c>
      <c r="E26" s="61">
        <f>E30+E151+E205+E193+E199+E210+E216+E222+E231+E115+E239+E247</f>
        <v>315</v>
      </c>
      <c r="F26" s="61">
        <f>F30+F151+F205+F193+F199+F210+F216+F222+F231+F115+F239+F247+0.1</f>
        <v>11110</v>
      </c>
      <c r="G26" s="61">
        <f>G30+G151+G205+G193+G199+G210+G216+G222+G231+G115+G239+G247+0.1</f>
        <v>7263</v>
      </c>
      <c r="H26" s="61">
        <f>H30+H151+H205+H193+H199+H210+H216+H222+H231+H115+H239+H247</f>
        <v>0</v>
      </c>
      <c r="I26" s="61">
        <f>I30+I151+I205+I193+I199+I210+I216+I222+I231+I115+I239+I247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SUM(D27:I27)+0.1</f>
        <v>1172751.8248</v>
      </c>
      <c r="D27" s="61">
        <f aca="true" t="shared" si="5" ref="D27:I27">D31+D158+D194++D201+D206+D212+D232+D217+D223+D241+D248+D117</f>
        <v>186866.10000000003</v>
      </c>
      <c r="E27" s="61">
        <f t="shared" si="5"/>
        <v>185322.98780000003</v>
      </c>
      <c r="F27" s="61">
        <f t="shared" si="5"/>
        <v>182479.357</v>
      </c>
      <c r="G27" s="61">
        <f t="shared" si="5"/>
        <v>205376.3</v>
      </c>
      <c r="H27" s="61">
        <f t="shared" si="5"/>
        <v>200530.98000000004</v>
      </c>
      <c r="I27" s="61">
        <f t="shared" si="5"/>
        <v>212176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66</v>
      </c>
      <c r="C28" s="60">
        <f>SUM(C29:C31)</f>
        <v>31353.952599999997</v>
      </c>
      <c r="D28" s="60">
        <f aca="true" t="shared" si="6" ref="D28:I28">SUM(D29:D31)</f>
        <v>7229.0920099999985</v>
      </c>
      <c r="E28" s="60">
        <f t="shared" si="6"/>
        <v>10784.28032</v>
      </c>
      <c r="F28" s="60">
        <f t="shared" si="6"/>
        <v>4269.904</v>
      </c>
      <c r="G28" s="60">
        <f t="shared" si="6"/>
        <v>5157.476269999999</v>
      </c>
      <c r="H28" s="60">
        <f t="shared" si="6"/>
        <v>877.1</v>
      </c>
      <c r="I28" s="60">
        <f t="shared" si="6"/>
        <v>3036.1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7" ref="D29:I30">D39+D46+D54+D64+D71+D80+D91+D101+D109</f>
        <v>0</v>
      </c>
      <c r="E29" s="61">
        <f t="shared" si="7"/>
        <v>0</v>
      </c>
      <c r="F29" s="61">
        <f t="shared" si="7"/>
        <v>0</v>
      </c>
      <c r="G29" s="61">
        <f t="shared" si="7"/>
        <v>0</v>
      </c>
      <c r="H29" s="61">
        <f t="shared" si="7"/>
        <v>0</v>
      </c>
      <c r="I29" s="61">
        <f t="shared" si="7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8" ref="C30:C94">SUM(D30:I30)</f>
        <v>0</v>
      </c>
      <c r="D30" s="61">
        <f t="shared" si="7"/>
        <v>0</v>
      </c>
      <c r="E30" s="61">
        <f t="shared" si="7"/>
        <v>0</v>
      </c>
      <c r="F30" s="61">
        <f t="shared" si="7"/>
        <v>0</v>
      </c>
      <c r="G30" s="61">
        <f t="shared" si="7"/>
        <v>0</v>
      </c>
      <c r="H30" s="61">
        <f t="shared" si="7"/>
        <v>0</v>
      </c>
      <c r="I30" s="61">
        <f t="shared" si="7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>SUM(D31:I31)</f>
        <v>31353.952599999997</v>
      </c>
      <c r="D31" s="61">
        <f aca="true" t="shared" si="9" ref="D31:I31">D32+D42+D49+D57+D67+D74+D84+D94+D104+D83</f>
        <v>7229.0920099999985</v>
      </c>
      <c r="E31" s="61">
        <f t="shared" si="9"/>
        <v>10784.28032</v>
      </c>
      <c r="F31" s="61">
        <f t="shared" si="9"/>
        <v>4269.904</v>
      </c>
      <c r="G31" s="61">
        <f>G32+G42+G49+G57+G67+G74+G84+G94+G104+G83</f>
        <v>5157.476269999999</v>
      </c>
      <c r="H31" s="61">
        <f t="shared" si="9"/>
        <v>877.1</v>
      </c>
      <c r="I31" s="61">
        <f t="shared" si="9"/>
        <v>3036.1</v>
      </c>
      <c r="J31" s="37"/>
      <c r="K31" s="12"/>
      <c r="L31" s="13"/>
      <c r="M31" s="13"/>
    </row>
    <row r="32" spans="1:13" s="17" customFormat="1" ht="39" customHeight="1">
      <c r="A32" s="34">
        <v>17</v>
      </c>
      <c r="B32" s="36" t="s">
        <v>55</v>
      </c>
      <c r="C32" s="61">
        <f>SUM(D32:I32)-0.1</f>
        <v>18671.09618</v>
      </c>
      <c r="D32" s="61">
        <f>57.5+6926.369-805.153+233.38153+299.937+63.111+160</f>
        <v>6935.145529999999</v>
      </c>
      <c r="E32" s="61">
        <f>2400+1417.0128+2040+1000+556.675+1000+32.357+120</f>
        <v>8566.0448</v>
      </c>
      <c r="F32" s="61">
        <f>914.403-42.878+319.41274</f>
        <v>1190.9377399999998</v>
      </c>
      <c r="G32" s="61">
        <f>902.3+100-100+199.66811</f>
        <v>1101.96811</v>
      </c>
      <c r="H32" s="61">
        <f>250+627.1</f>
        <v>877.1</v>
      </c>
      <c r="I32" s="61">
        <v>0</v>
      </c>
      <c r="J32" s="41" t="s">
        <v>80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8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8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8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8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8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8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8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8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8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8"/>
        <v>2009.41182</v>
      </c>
      <c r="D42" s="61">
        <f>7.8+1.9</f>
        <v>9.7</v>
      </c>
      <c r="E42" s="61">
        <v>78.7</v>
      </c>
      <c r="F42" s="61">
        <v>0</v>
      </c>
      <c r="G42" s="61">
        <f>1868.90059+52.11123</f>
        <v>1921.01182</v>
      </c>
      <c r="H42" s="61">
        <v>0</v>
      </c>
      <c r="I42" s="61">
        <v>0</v>
      </c>
      <c r="J42" s="41" t="s">
        <v>80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8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8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8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8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8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8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8"/>
        <v>325.37471</v>
      </c>
      <c r="D49" s="61">
        <f>38.753+15.32-3.8516-6.69908</f>
        <v>43.52232</v>
      </c>
      <c r="E49" s="61">
        <f>120+161.85239</f>
        <v>281.85239</v>
      </c>
      <c r="F49" s="61">
        <v>0</v>
      </c>
      <c r="G49" s="61">
        <v>0</v>
      </c>
      <c r="H49" s="61">
        <v>0</v>
      </c>
      <c r="I49" s="61">
        <v>0</v>
      </c>
      <c r="J49" s="41" t="s">
        <v>81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8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8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8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8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8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8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8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8"/>
        <v>3352.8573</v>
      </c>
      <c r="D57" s="61">
        <f>23.528+52.1804-1.8084-1.12296</f>
        <v>72.77703999999999</v>
      </c>
      <c r="E57" s="61">
        <f>165.17276-4.05876+140</f>
        <v>301.11400000000003</v>
      </c>
      <c r="F57" s="61">
        <f>2040.5+670.449+11.897+142.878+113.24226</f>
        <v>2978.96626</v>
      </c>
      <c r="G57" s="61">
        <v>0</v>
      </c>
      <c r="H57" s="61">
        <v>0</v>
      </c>
      <c r="I57" s="61">
        <v>0</v>
      </c>
      <c r="J57" s="41" t="s">
        <v>82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8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8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8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8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8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8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8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8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8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8"/>
        <v>942.2597099999999</v>
      </c>
      <c r="D67" s="61">
        <v>22.266</v>
      </c>
      <c r="E67" s="61">
        <f>600-0.00629+220</f>
        <v>819.99371</v>
      </c>
      <c r="F67" s="61">
        <v>100</v>
      </c>
      <c r="G67" s="61">
        <v>0</v>
      </c>
      <c r="H67" s="61">
        <v>0</v>
      </c>
      <c r="I67" s="61">
        <v>0</v>
      </c>
      <c r="J67" s="41" t="s">
        <v>83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8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8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8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8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8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8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8"/>
        <v>1174.97054</v>
      </c>
      <c r="D74" s="61">
        <f>17.18+23.964+70.06-0.32288</f>
        <v>110.88112000000001</v>
      </c>
      <c r="E74" s="61">
        <f>215.13-60.712+582.15742</f>
        <v>736.57542</v>
      </c>
      <c r="F74" s="61">
        <v>0</v>
      </c>
      <c r="G74" s="61">
        <v>327.514</v>
      </c>
      <c r="H74" s="61">
        <v>0</v>
      </c>
      <c r="I74" s="61">
        <v>0</v>
      </c>
      <c r="J74" s="41" t="s">
        <v>80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8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8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8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8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8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8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8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8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35.25" customHeight="1" collapsed="1">
      <c r="A83" s="34">
        <v>23</v>
      </c>
      <c r="B83" s="36" t="s">
        <v>110</v>
      </c>
      <c r="C83" s="61">
        <f>SUM(D83:I83)</f>
        <v>3336.1</v>
      </c>
      <c r="D83" s="61">
        <v>0</v>
      </c>
      <c r="E83" s="61">
        <v>0</v>
      </c>
      <c r="F83" s="61">
        <v>0</v>
      </c>
      <c r="G83" s="61">
        <v>300</v>
      </c>
      <c r="H83" s="61">
        <v>0</v>
      </c>
      <c r="I83" s="61">
        <v>3036.1</v>
      </c>
      <c r="J83" s="55" t="s">
        <v>80</v>
      </c>
      <c r="K83" s="20"/>
      <c r="L83" s="16"/>
      <c r="M83" s="16"/>
    </row>
    <row r="84" spans="1:13" s="17" customFormat="1" ht="40.5" customHeight="1">
      <c r="A84" s="34">
        <v>24</v>
      </c>
      <c r="B84" s="39" t="s">
        <v>9</v>
      </c>
      <c r="C84" s="61">
        <f t="shared" si="8"/>
        <v>1512.482339999999</v>
      </c>
      <c r="D84" s="61">
        <v>5.5</v>
      </c>
      <c r="E84" s="61">
        <v>0</v>
      </c>
      <c r="F84" s="61">
        <v>0</v>
      </c>
      <c r="G84" s="61">
        <f>4579.4-1296.828+793.30432-2119.57702-149.31696-300</f>
        <v>1506.982339999999</v>
      </c>
      <c r="H84" s="61">
        <v>0</v>
      </c>
      <c r="I84" s="61">
        <v>0</v>
      </c>
      <c r="J84" s="41" t="s">
        <v>84</v>
      </c>
      <c r="K84" s="20"/>
      <c r="L84" s="16"/>
      <c r="M84" s="16"/>
    </row>
    <row r="85" spans="1:13" s="17" customFormat="1" ht="66" customHeight="1" hidden="1" outlineLevel="1">
      <c r="A85" s="34"/>
      <c r="B85" s="39" t="s">
        <v>37</v>
      </c>
      <c r="C85" s="61">
        <f t="shared" si="8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99" customHeight="1" hidden="1" outlineLevel="1">
      <c r="A86" s="34"/>
      <c r="B86" s="39" t="s">
        <v>38</v>
      </c>
      <c r="C86" s="61">
        <f t="shared" si="8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39</v>
      </c>
      <c r="C87" s="61">
        <f t="shared" si="8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33" customHeight="1" hidden="1" outlineLevel="1">
      <c r="A88" s="34"/>
      <c r="B88" s="39" t="s">
        <v>40</v>
      </c>
      <c r="C88" s="61">
        <f t="shared" si="8"/>
        <v>0</v>
      </c>
      <c r="D88" s="61"/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8"/>
        <v>260</v>
      </c>
      <c r="D89" s="61">
        <v>260</v>
      </c>
      <c r="E89" s="61"/>
      <c r="F89" s="61"/>
      <c r="G89" s="61"/>
      <c r="H89" s="61"/>
      <c r="I89" s="61"/>
      <c r="J89" s="44"/>
      <c r="K89" s="20"/>
      <c r="L89" s="16"/>
      <c r="M89" s="16"/>
    </row>
    <row r="90" spans="1:13" s="17" customFormat="1" ht="66" customHeight="1" hidden="1" outlineLevel="1">
      <c r="A90" s="34"/>
      <c r="B90" s="39" t="s">
        <v>41</v>
      </c>
      <c r="C90" s="61">
        <f t="shared" si="8"/>
        <v>260</v>
      </c>
      <c r="D90" s="61"/>
      <c r="E90" s="61">
        <v>260</v>
      </c>
      <c r="F90" s="61"/>
      <c r="G90" s="61"/>
      <c r="H90" s="61"/>
      <c r="I90" s="61"/>
      <c r="J90" s="44"/>
      <c r="K90" s="20"/>
      <c r="L90" s="16"/>
      <c r="M90" s="16"/>
    </row>
    <row r="91" spans="1:13" s="17" customFormat="1" ht="33" customHeight="1" hidden="1" outlineLevel="1" collapsed="1">
      <c r="A91" s="34"/>
      <c r="B91" s="38" t="s">
        <v>4</v>
      </c>
      <c r="C91" s="61">
        <f t="shared" si="8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1</v>
      </c>
      <c r="C92" s="61">
        <f t="shared" si="8"/>
        <v>0</v>
      </c>
      <c r="D92" s="62"/>
      <c r="E92" s="62"/>
      <c r="F92" s="62"/>
      <c r="G92" s="62"/>
      <c r="H92" s="62"/>
      <c r="I92" s="62"/>
      <c r="J92" s="44"/>
      <c r="K92" s="20"/>
      <c r="L92" s="16"/>
      <c r="M92" s="16"/>
    </row>
    <row r="93" spans="1:13" s="17" customFormat="1" ht="33" customHeight="1" hidden="1" outlineLevel="1">
      <c r="A93" s="34"/>
      <c r="B93" s="38" t="s">
        <v>5</v>
      </c>
      <c r="C93" s="61">
        <f t="shared" si="8"/>
        <v>520</v>
      </c>
      <c r="D93" s="62">
        <f>260</f>
        <v>260</v>
      </c>
      <c r="E93" s="62">
        <v>260</v>
      </c>
      <c r="F93" s="62"/>
      <c r="G93" s="62"/>
      <c r="H93" s="62"/>
      <c r="I93" s="62"/>
      <c r="J93" s="44"/>
      <c r="K93" s="20"/>
      <c r="L93" s="16"/>
      <c r="M93" s="16"/>
    </row>
    <row r="94" spans="1:13" s="17" customFormat="1" ht="39" customHeight="1" collapsed="1">
      <c r="A94" s="34">
        <v>25</v>
      </c>
      <c r="B94" s="39" t="s">
        <v>71</v>
      </c>
      <c r="C94" s="61">
        <f t="shared" si="8"/>
        <v>13.5</v>
      </c>
      <c r="D94" s="61">
        <v>13.5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41" t="s">
        <v>111</v>
      </c>
      <c r="K94" s="20"/>
      <c r="L94" s="16"/>
      <c r="M94" s="16"/>
    </row>
    <row r="95" spans="1:13" s="17" customFormat="1" ht="132" customHeight="1" hidden="1" outlineLevel="1">
      <c r="A95" s="34"/>
      <c r="B95" s="39" t="s">
        <v>42</v>
      </c>
      <c r="C95" s="61">
        <f aca="true" t="shared" si="10" ref="C95:C111">SUM(D95:I95)</f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132" customHeight="1" hidden="1" outlineLevel="1">
      <c r="A96" s="34"/>
      <c r="B96" s="39" t="s">
        <v>43</v>
      </c>
      <c r="C96" s="61">
        <f t="shared" si="10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33" customHeight="1" hidden="1" outlineLevel="1">
      <c r="A97" s="34"/>
      <c r="B97" s="39" t="s">
        <v>44</v>
      </c>
      <c r="C97" s="61">
        <f t="shared" si="10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66" customHeight="1" hidden="1" outlineLevel="1">
      <c r="A98" s="34"/>
      <c r="B98" s="39" t="s">
        <v>45</v>
      </c>
      <c r="C98" s="61">
        <f t="shared" si="10"/>
        <v>0</v>
      </c>
      <c r="D98" s="61"/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10"/>
        <v>200</v>
      </c>
      <c r="D99" s="61">
        <v>200</v>
      </c>
      <c r="E99" s="61"/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>
      <c r="A100" s="34"/>
      <c r="B100" s="39" t="s">
        <v>46</v>
      </c>
      <c r="C100" s="61">
        <f t="shared" si="10"/>
        <v>200</v>
      </c>
      <c r="D100" s="61"/>
      <c r="E100" s="61">
        <v>200</v>
      </c>
      <c r="F100" s="61"/>
      <c r="G100" s="61"/>
      <c r="H100" s="61"/>
      <c r="I100" s="61"/>
      <c r="J100" s="44"/>
      <c r="K100" s="20"/>
      <c r="L100" s="16"/>
      <c r="M100" s="16"/>
    </row>
    <row r="101" spans="1:13" s="17" customFormat="1" ht="33" customHeight="1" hidden="1" outlineLevel="1" collapsed="1">
      <c r="A101" s="34"/>
      <c r="B101" s="38" t="s">
        <v>4</v>
      </c>
      <c r="C101" s="61">
        <f t="shared" si="10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1</v>
      </c>
      <c r="C102" s="61">
        <f t="shared" si="10"/>
        <v>0</v>
      </c>
      <c r="D102" s="62"/>
      <c r="E102" s="62"/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33" customHeight="1" hidden="1" outlineLevel="1">
      <c r="A103" s="34"/>
      <c r="B103" s="38" t="s">
        <v>5</v>
      </c>
      <c r="C103" s="61">
        <f t="shared" si="10"/>
        <v>400</v>
      </c>
      <c r="D103" s="62">
        <f>200</f>
        <v>200</v>
      </c>
      <c r="E103" s="62">
        <f>200</f>
        <v>200</v>
      </c>
      <c r="F103" s="62"/>
      <c r="G103" s="62"/>
      <c r="H103" s="62"/>
      <c r="I103" s="62"/>
      <c r="J103" s="44"/>
      <c r="K103" s="20"/>
      <c r="L103" s="16"/>
      <c r="M103" s="16"/>
    </row>
    <row r="104" spans="1:13" s="17" customFormat="1" ht="36.75" customHeight="1" collapsed="1">
      <c r="A104" s="34">
        <v>26</v>
      </c>
      <c r="B104" s="39" t="s">
        <v>72</v>
      </c>
      <c r="C104" s="61">
        <f t="shared" si="10"/>
        <v>15.8</v>
      </c>
      <c r="D104" s="61">
        <v>15.8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41" t="s">
        <v>111</v>
      </c>
      <c r="K104" s="20"/>
      <c r="L104" s="16"/>
      <c r="M104" s="16"/>
    </row>
    <row r="105" spans="1:13" s="17" customFormat="1" ht="66" hidden="1" outlineLevel="1">
      <c r="A105" s="34"/>
      <c r="B105" s="39" t="s">
        <v>47</v>
      </c>
      <c r="C105" s="61">
        <f t="shared" si="10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48</v>
      </c>
      <c r="C106" s="61">
        <f t="shared" si="10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49</v>
      </c>
      <c r="C107" s="61">
        <f t="shared" si="10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>
      <c r="A108" s="34"/>
      <c r="B108" s="39" t="s">
        <v>50</v>
      </c>
      <c r="C108" s="61">
        <f t="shared" si="10"/>
        <v>0</v>
      </c>
      <c r="D108" s="61"/>
      <c r="E108" s="61"/>
      <c r="F108" s="61"/>
      <c r="G108" s="61"/>
      <c r="H108" s="61"/>
      <c r="I108" s="61"/>
      <c r="J108" s="34"/>
      <c r="K108" s="20"/>
      <c r="L108" s="16"/>
      <c r="M108" s="16"/>
    </row>
    <row r="109" spans="1:13" s="17" customFormat="1" ht="33" hidden="1" outlineLevel="1" collapsed="1">
      <c r="A109" s="34"/>
      <c r="B109" s="38" t="s">
        <v>4</v>
      </c>
      <c r="C109" s="61">
        <f t="shared" si="10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1</v>
      </c>
      <c r="C110" s="61">
        <f t="shared" si="10"/>
        <v>0</v>
      </c>
      <c r="D110" s="62"/>
      <c r="E110" s="62"/>
      <c r="F110" s="62"/>
      <c r="G110" s="62"/>
      <c r="H110" s="62"/>
      <c r="I110" s="62"/>
      <c r="J110" s="34"/>
      <c r="K110" s="20"/>
      <c r="L110" s="16"/>
      <c r="M110" s="16"/>
    </row>
    <row r="111" spans="1:13" s="17" customFormat="1" ht="33" hidden="1" outlineLevel="1">
      <c r="A111" s="34"/>
      <c r="B111" s="38" t="s">
        <v>5</v>
      </c>
      <c r="C111" s="61">
        <f t="shared" si="10"/>
        <v>200</v>
      </c>
      <c r="D111" s="62">
        <v>100</v>
      </c>
      <c r="E111" s="62">
        <v>100</v>
      </c>
      <c r="F111" s="62"/>
      <c r="G111" s="62"/>
      <c r="H111" s="62"/>
      <c r="I111" s="62"/>
      <c r="J111" s="34"/>
      <c r="K111" s="20"/>
      <c r="L111" s="16"/>
      <c r="M111" s="16"/>
    </row>
    <row r="112" spans="1:13" s="11" customFormat="1" ht="338.25" customHeight="1" collapsed="1">
      <c r="A112" s="32">
        <v>27</v>
      </c>
      <c r="B112" s="35" t="s">
        <v>58</v>
      </c>
      <c r="C112" s="60">
        <f>SUM(D112:I112)</f>
        <v>3118.07776</v>
      </c>
      <c r="D112" s="60">
        <f aca="true" t="shared" si="11" ref="D112:I112">D113+D115+D117</f>
        <v>1521.983</v>
      </c>
      <c r="E112" s="60">
        <f t="shared" si="11"/>
        <v>686.0947600000001</v>
      </c>
      <c r="F112" s="60">
        <f t="shared" si="11"/>
        <v>410</v>
      </c>
      <c r="G112" s="60">
        <f t="shared" si="11"/>
        <v>500</v>
      </c>
      <c r="H112" s="60">
        <f t="shared" si="11"/>
        <v>0</v>
      </c>
      <c r="I112" s="60">
        <f t="shared" si="11"/>
        <v>0</v>
      </c>
      <c r="J112" s="32" t="s">
        <v>2</v>
      </c>
      <c r="K112" s="9"/>
      <c r="L112" s="10"/>
      <c r="M112" s="10"/>
    </row>
    <row r="113" spans="1:13" s="14" customFormat="1" ht="33">
      <c r="A113" s="34">
        <v>28</v>
      </c>
      <c r="B113" s="36" t="s">
        <v>4</v>
      </c>
      <c r="C113" s="61">
        <f>SUM(D113:I113)</f>
        <v>280</v>
      </c>
      <c r="D113" s="61">
        <v>0</v>
      </c>
      <c r="E113" s="61">
        <v>0</v>
      </c>
      <c r="F113" s="61">
        <v>0</v>
      </c>
      <c r="G113" s="61">
        <f>G129+G143</f>
        <v>280</v>
      </c>
      <c r="H113" s="61">
        <v>0</v>
      </c>
      <c r="I113" s="61"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56</v>
      </c>
      <c r="C114" s="61">
        <f>SUM(D114:I114)</f>
        <v>280</v>
      </c>
      <c r="D114" s="61">
        <f aca="true" t="shared" si="12" ref="D114:I114">D144</f>
        <v>0</v>
      </c>
      <c r="E114" s="61">
        <f t="shared" si="12"/>
        <v>0</v>
      </c>
      <c r="F114" s="61">
        <f t="shared" si="12"/>
        <v>0</v>
      </c>
      <c r="G114" s="61">
        <f t="shared" si="12"/>
        <v>280</v>
      </c>
      <c r="H114" s="61">
        <f t="shared" si="12"/>
        <v>0</v>
      </c>
      <c r="I114" s="61">
        <f t="shared" si="12"/>
        <v>0</v>
      </c>
      <c r="J114" s="55" t="s">
        <v>86</v>
      </c>
      <c r="K114" s="12"/>
      <c r="L114" s="13"/>
      <c r="M114" s="13"/>
    </row>
    <row r="115" spans="1:13" s="14" customFormat="1" ht="33">
      <c r="A115" s="34">
        <v>30</v>
      </c>
      <c r="B115" s="36" t="s">
        <v>1</v>
      </c>
      <c r="C115" s="61">
        <f aca="true" t="shared" si="13" ref="C115:C127">SUM(D115:I115)</f>
        <v>120</v>
      </c>
      <c r="D115" s="61">
        <f aca="true" t="shared" si="14" ref="D115:I115">D116</f>
        <v>0</v>
      </c>
      <c r="E115" s="61">
        <f t="shared" si="14"/>
        <v>0</v>
      </c>
      <c r="F115" s="61">
        <f t="shared" si="14"/>
        <v>0</v>
      </c>
      <c r="G115" s="61">
        <f t="shared" si="14"/>
        <v>120</v>
      </c>
      <c r="H115" s="61">
        <f t="shared" si="14"/>
        <v>0</v>
      </c>
      <c r="I115" s="61">
        <f t="shared" si="14"/>
        <v>0</v>
      </c>
      <c r="J115" s="34"/>
      <c r="K115" s="12"/>
      <c r="L115" s="13"/>
      <c r="M115" s="13"/>
    </row>
    <row r="116" spans="1:13" s="14" customFormat="1" ht="66">
      <c r="A116" s="34">
        <v>31</v>
      </c>
      <c r="B116" s="36" t="s">
        <v>56</v>
      </c>
      <c r="C116" s="61">
        <f aca="true" t="shared" si="15" ref="C116:I116">C146</f>
        <v>120</v>
      </c>
      <c r="D116" s="61">
        <f t="shared" si="15"/>
        <v>0</v>
      </c>
      <c r="E116" s="61">
        <f t="shared" si="15"/>
        <v>0</v>
      </c>
      <c r="F116" s="61">
        <f t="shared" si="15"/>
        <v>0</v>
      </c>
      <c r="G116" s="61">
        <f t="shared" si="15"/>
        <v>120</v>
      </c>
      <c r="H116" s="61">
        <f t="shared" si="15"/>
        <v>0</v>
      </c>
      <c r="I116" s="61">
        <f t="shared" si="15"/>
        <v>0</v>
      </c>
      <c r="J116" s="55" t="s">
        <v>86</v>
      </c>
      <c r="K116" s="12"/>
      <c r="L116" s="13"/>
      <c r="M116" s="13"/>
    </row>
    <row r="117" spans="1:13" s="14" customFormat="1" ht="66">
      <c r="A117" s="34">
        <v>32</v>
      </c>
      <c r="B117" s="36" t="s">
        <v>59</v>
      </c>
      <c r="C117" s="61">
        <f>SUM(D117:I117)</f>
        <v>2718.07776</v>
      </c>
      <c r="D117" s="61">
        <f aca="true" t="shared" si="16" ref="D117:I117">D118+D119+D120+D121+D122+D124+D125+D126+D127+D123</f>
        <v>1521.983</v>
      </c>
      <c r="E117" s="61">
        <f t="shared" si="16"/>
        <v>686.0947600000001</v>
      </c>
      <c r="F117" s="61">
        <f t="shared" si="16"/>
        <v>410</v>
      </c>
      <c r="G117" s="61">
        <f t="shared" si="16"/>
        <v>100</v>
      </c>
      <c r="H117" s="61">
        <f t="shared" si="16"/>
        <v>0</v>
      </c>
      <c r="I117" s="61">
        <f t="shared" si="16"/>
        <v>0</v>
      </c>
      <c r="J117" s="34"/>
      <c r="K117" s="12"/>
      <c r="L117" s="13"/>
      <c r="M117" s="13"/>
    </row>
    <row r="118" spans="1:13" s="14" customFormat="1" ht="33">
      <c r="A118" s="34">
        <v>33</v>
      </c>
      <c r="B118" s="36" t="s">
        <v>55</v>
      </c>
      <c r="C118" s="61">
        <f t="shared" si="13"/>
        <v>1145.153</v>
      </c>
      <c r="D118" s="61">
        <f aca="true" t="shared" si="17" ref="D118:I118">D132</f>
        <v>1030.153</v>
      </c>
      <c r="E118" s="61">
        <f t="shared" si="17"/>
        <v>115</v>
      </c>
      <c r="F118" s="61">
        <f t="shared" si="17"/>
        <v>0</v>
      </c>
      <c r="G118" s="61">
        <f t="shared" si="17"/>
        <v>0</v>
      </c>
      <c r="H118" s="61">
        <f t="shared" si="17"/>
        <v>0</v>
      </c>
      <c r="I118" s="61">
        <f t="shared" si="17"/>
        <v>0</v>
      </c>
      <c r="J118" s="55" t="s">
        <v>85</v>
      </c>
      <c r="K118" s="12"/>
      <c r="L118" s="13"/>
      <c r="M118" s="13"/>
    </row>
    <row r="119" spans="1:13" s="14" customFormat="1" ht="66">
      <c r="A119" s="34">
        <v>34</v>
      </c>
      <c r="B119" s="36" t="s">
        <v>56</v>
      </c>
      <c r="C119" s="61">
        <f aca="true" t="shared" si="18" ref="C119:I119">C133+C148</f>
        <v>175.84176</v>
      </c>
      <c r="D119" s="61">
        <f t="shared" si="18"/>
        <v>41.83</v>
      </c>
      <c r="E119" s="61">
        <f t="shared" si="18"/>
        <v>34.01176</v>
      </c>
      <c r="F119" s="61">
        <f t="shared" si="18"/>
        <v>0</v>
      </c>
      <c r="G119" s="61">
        <f t="shared" si="18"/>
        <v>100</v>
      </c>
      <c r="H119" s="61">
        <f t="shared" si="18"/>
        <v>0</v>
      </c>
      <c r="I119" s="61">
        <f t="shared" si="18"/>
        <v>0</v>
      </c>
      <c r="J119" s="55" t="s">
        <v>86</v>
      </c>
      <c r="K119" s="12"/>
      <c r="L119" s="13"/>
      <c r="M119" s="13"/>
    </row>
    <row r="120" spans="1:13" s="14" customFormat="1" ht="33">
      <c r="A120" s="34">
        <v>35</v>
      </c>
      <c r="B120" s="36" t="s">
        <v>74</v>
      </c>
      <c r="C120" s="61">
        <f t="shared" si="13"/>
        <v>514.47</v>
      </c>
      <c r="D120" s="61">
        <f aca="true" t="shared" si="19" ref="D120:D125">D134</f>
        <v>0</v>
      </c>
      <c r="E120" s="61">
        <f aca="true" t="shared" si="20" ref="E120:I122">E134</f>
        <v>214.47</v>
      </c>
      <c r="F120" s="61">
        <f t="shared" si="20"/>
        <v>300</v>
      </c>
      <c r="G120" s="61">
        <f t="shared" si="20"/>
        <v>0</v>
      </c>
      <c r="H120" s="61">
        <f t="shared" si="20"/>
        <v>0</v>
      </c>
      <c r="I120" s="61">
        <f t="shared" si="20"/>
        <v>0</v>
      </c>
      <c r="J120" s="55" t="s">
        <v>85</v>
      </c>
      <c r="K120" s="12"/>
      <c r="L120" s="13"/>
      <c r="M120" s="13"/>
    </row>
    <row r="121" spans="1:13" s="14" customFormat="1" ht="66">
      <c r="A121" s="34">
        <v>36</v>
      </c>
      <c r="B121" s="36" t="s">
        <v>6</v>
      </c>
      <c r="C121" s="61">
        <f t="shared" si="13"/>
        <v>110</v>
      </c>
      <c r="D121" s="61">
        <f t="shared" si="19"/>
        <v>0</v>
      </c>
      <c r="E121" s="61">
        <f t="shared" si="20"/>
        <v>0</v>
      </c>
      <c r="F121" s="61">
        <f t="shared" si="20"/>
        <v>110</v>
      </c>
      <c r="G121" s="61">
        <f t="shared" si="20"/>
        <v>0</v>
      </c>
      <c r="H121" s="61">
        <f t="shared" si="20"/>
        <v>0</v>
      </c>
      <c r="I121" s="61">
        <f t="shared" si="20"/>
        <v>0</v>
      </c>
      <c r="J121" s="55" t="s">
        <v>87</v>
      </c>
      <c r="K121" s="12"/>
      <c r="L121" s="13"/>
      <c r="M121" s="13"/>
    </row>
    <row r="122" spans="1:13" s="14" customFormat="1" ht="66">
      <c r="A122" s="34">
        <v>37</v>
      </c>
      <c r="B122" s="36" t="s">
        <v>7</v>
      </c>
      <c r="C122" s="61">
        <f t="shared" si="13"/>
        <v>253.263</v>
      </c>
      <c r="D122" s="61">
        <f t="shared" si="19"/>
        <v>0</v>
      </c>
      <c r="E122" s="61">
        <f t="shared" si="20"/>
        <v>253.263</v>
      </c>
      <c r="F122" s="61">
        <f t="shared" si="20"/>
        <v>0</v>
      </c>
      <c r="G122" s="61">
        <f t="shared" si="20"/>
        <v>0</v>
      </c>
      <c r="H122" s="61">
        <f t="shared" si="20"/>
        <v>0</v>
      </c>
      <c r="I122" s="61">
        <f t="shared" si="20"/>
        <v>0</v>
      </c>
      <c r="J122" s="55" t="s">
        <v>88</v>
      </c>
      <c r="K122" s="12"/>
      <c r="L122" s="13"/>
      <c r="M122" s="13"/>
    </row>
    <row r="123" spans="1:13" s="14" customFormat="1" ht="33">
      <c r="A123" s="34">
        <v>38</v>
      </c>
      <c r="B123" s="36" t="s">
        <v>8</v>
      </c>
      <c r="C123" s="61">
        <f>SUM(D123:I123)</f>
        <v>0</v>
      </c>
      <c r="D123" s="61">
        <f t="shared" si="19"/>
        <v>0</v>
      </c>
      <c r="E123" s="61">
        <f aca="true" t="shared" si="21" ref="E123:I124">E137</f>
        <v>0</v>
      </c>
      <c r="F123" s="61">
        <f t="shared" si="21"/>
        <v>0</v>
      </c>
      <c r="G123" s="61">
        <f t="shared" si="21"/>
        <v>0</v>
      </c>
      <c r="H123" s="61">
        <f t="shared" si="21"/>
        <v>0</v>
      </c>
      <c r="I123" s="61">
        <f t="shared" si="21"/>
        <v>0</v>
      </c>
      <c r="J123" s="55" t="s">
        <v>85</v>
      </c>
      <c r="K123" s="12"/>
      <c r="L123" s="13"/>
      <c r="M123" s="13"/>
    </row>
    <row r="124" spans="1:13" s="14" customFormat="1" ht="33">
      <c r="A124" s="34">
        <v>39</v>
      </c>
      <c r="B124" s="36" t="s">
        <v>110</v>
      </c>
      <c r="C124" s="61">
        <f t="shared" si="13"/>
        <v>0</v>
      </c>
      <c r="D124" s="61">
        <f t="shared" si="19"/>
        <v>0</v>
      </c>
      <c r="E124" s="61">
        <f t="shared" si="21"/>
        <v>0</v>
      </c>
      <c r="F124" s="61">
        <f t="shared" si="21"/>
        <v>0</v>
      </c>
      <c r="G124" s="61">
        <f t="shared" si="21"/>
        <v>0</v>
      </c>
      <c r="H124" s="61">
        <f t="shared" si="21"/>
        <v>0</v>
      </c>
      <c r="I124" s="61">
        <f t="shared" si="21"/>
        <v>0</v>
      </c>
      <c r="J124" s="55" t="s">
        <v>85</v>
      </c>
      <c r="K124" s="12"/>
      <c r="L124" s="13"/>
      <c r="M124" s="13"/>
    </row>
    <row r="125" spans="1:13" s="14" customFormat="1" ht="36.75" customHeight="1">
      <c r="A125" s="34">
        <v>40</v>
      </c>
      <c r="B125" s="36" t="s">
        <v>9</v>
      </c>
      <c r="C125" s="61">
        <f t="shared" si="13"/>
        <v>519.35</v>
      </c>
      <c r="D125" s="61">
        <f t="shared" si="19"/>
        <v>450</v>
      </c>
      <c r="E125" s="61">
        <f>E139</f>
        <v>69.35</v>
      </c>
      <c r="F125" s="61">
        <f>F139</f>
        <v>0</v>
      </c>
      <c r="G125" s="61">
        <f>G139</f>
        <v>0</v>
      </c>
      <c r="H125" s="61">
        <f>H139</f>
        <v>0</v>
      </c>
      <c r="I125" s="61">
        <f>I139</f>
        <v>0</v>
      </c>
      <c r="J125" s="55" t="s">
        <v>89</v>
      </c>
      <c r="K125" s="12"/>
      <c r="L125" s="13"/>
      <c r="M125" s="13"/>
    </row>
    <row r="126" spans="1:13" s="14" customFormat="1" ht="33">
      <c r="A126" s="34">
        <v>41</v>
      </c>
      <c r="B126" s="36" t="s">
        <v>71</v>
      </c>
      <c r="C126" s="61">
        <f t="shared" si="13"/>
        <v>0</v>
      </c>
      <c r="D126" s="61">
        <f aca="true" t="shared" si="22" ref="D126:I126">D140</f>
        <v>0</v>
      </c>
      <c r="E126" s="61">
        <f t="shared" si="22"/>
        <v>0</v>
      </c>
      <c r="F126" s="61">
        <f t="shared" si="22"/>
        <v>0</v>
      </c>
      <c r="G126" s="61">
        <f t="shared" si="22"/>
        <v>0</v>
      </c>
      <c r="H126" s="61">
        <f t="shared" si="22"/>
        <v>0</v>
      </c>
      <c r="I126" s="61">
        <f t="shared" si="22"/>
        <v>0</v>
      </c>
      <c r="J126" s="55" t="s">
        <v>90</v>
      </c>
      <c r="K126" s="12"/>
      <c r="L126" s="13"/>
      <c r="M126" s="13"/>
    </row>
    <row r="127" spans="1:13" s="14" customFormat="1" ht="33">
      <c r="A127" s="34">
        <v>42</v>
      </c>
      <c r="B127" s="36" t="s">
        <v>73</v>
      </c>
      <c r="C127" s="61">
        <f t="shared" si="13"/>
        <v>0</v>
      </c>
      <c r="D127" s="61">
        <f aca="true" t="shared" si="23" ref="D127:I127">D141</f>
        <v>0</v>
      </c>
      <c r="E127" s="61">
        <f t="shared" si="23"/>
        <v>0</v>
      </c>
      <c r="F127" s="61">
        <f t="shared" si="23"/>
        <v>0</v>
      </c>
      <c r="G127" s="61">
        <f t="shared" si="23"/>
        <v>0</v>
      </c>
      <c r="H127" s="61">
        <f t="shared" si="23"/>
        <v>0</v>
      </c>
      <c r="I127" s="61">
        <f t="shared" si="23"/>
        <v>0</v>
      </c>
      <c r="J127" s="55" t="s">
        <v>90</v>
      </c>
      <c r="K127" s="12"/>
      <c r="L127" s="13"/>
      <c r="M127" s="13"/>
    </row>
    <row r="128" spans="1:13" s="11" customFormat="1" ht="342" customHeight="1">
      <c r="A128" s="32">
        <v>43</v>
      </c>
      <c r="B128" s="35" t="s">
        <v>107</v>
      </c>
      <c r="C128" s="60">
        <f>SUM(D128:I128)</f>
        <v>2618.07776</v>
      </c>
      <c r="D128" s="60">
        <f aca="true" t="shared" si="24" ref="D128:I128">D129+D130+D131</f>
        <v>1521.983</v>
      </c>
      <c r="E128" s="60">
        <f t="shared" si="24"/>
        <v>686.0947600000001</v>
      </c>
      <c r="F128" s="60">
        <f t="shared" si="24"/>
        <v>410</v>
      </c>
      <c r="G128" s="60">
        <f t="shared" si="24"/>
        <v>0</v>
      </c>
      <c r="H128" s="60">
        <f t="shared" si="24"/>
        <v>0</v>
      </c>
      <c r="I128" s="60">
        <f t="shared" si="24"/>
        <v>0</v>
      </c>
      <c r="J128" s="32" t="s">
        <v>2</v>
      </c>
      <c r="K128" s="9"/>
      <c r="L128" s="10"/>
      <c r="M128" s="10"/>
    </row>
    <row r="129" spans="1:13" s="14" customFormat="1" ht="33">
      <c r="A129" s="34">
        <v>44</v>
      </c>
      <c r="B129" s="36" t="s">
        <v>4</v>
      </c>
      <c r="C129" s="61">
        <f>SUM(D129:I129)</f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34"/>
      <c r="K129" s="12"/>
      <c r="L129" s="13"/>
      <c r="M129" s="13"/>
    </row>
    <row r="130" spans="1:13" s="14" customFormat="1" ht="33">
      <c r="A130" s="34">
        <v>45</v>
      </c>
      <c r="B130" s="36" t="s">
        <v>1</v>
      </c>
      <c r="C130" s="61">
        <f aca="true" t="shared" si="25" ref="C130:C141">SUM(D130:I130)</f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34"/>
      <c r="K130" s="12"/>
      <c r="L130" s="13"/>
      <c r="M130" s="13"/>
    </row>
    <row r="131" spans="1:13" s="14" customFormat="1" ht="66">
      <c r="A131" s="34">
        <v>46</v>
      </c>
      <c r="B131" s="36" t="s">
        <v>59</v>
      </c>
      <c r="C131" s="61">
        <f t="shared" si="25"/>
        <v>2618.07776</v>
      </c>
      <c r="D131" s="61">
        <f aca="true" t="shared" si="26" ref="D131:I131">D132+D133+D134+D135+D136+D137+D139+D140+D141+D138</f>
        <v>1521.983</v>
      </c>
      <c r="E131" s="61">
        <f t="shared" si="26"/>
        <v>686.0947600000001</v>
      </c>
      <c r="F131" s="61">
        <f t="shared" si="26"/>
        <v>410</v>
      </c>
      <c r="G131" s="61">
        <f>G132+G133+G134+G135+G136+G137+G139+G140+G141+G138</f>
        <v>0</v>
      </c>
      <c r="H131" s="61">
        <f t="shared" si="26"/>
        <v>0</v>
      </c>
      <c r="I131" s="61">
        <f t="shared" si="26"/>
        <v>0</v>
      </c>
      <c r="J131" s="34"/>
      <c r="K131" s="12"/>
      <c r="L131" s="13"/>
      <c r="M131" s="13"/>
    </row>
    <row r="132" spans="1:13" s="14" customFormat="1" ht="33">
      <c r="A132" s="34">
        <v>47</v>
      </c>
      <c r="B132" s="36" t="s">
        <v>55</v>
      </c>
      <c r="C132" s="61">
        <f t="shared" si="25"/>
        <v>1145.153</v>
      </c>
      <c r="D132" s="61">
        <f>200+805.153+25</f>
        <v>1030.153</v>
      </c>
      <c r="E132" s="61">
        <v>115</v>
      </c>
      <c r="F132" s="61">
        <v>0</v>
      </c>
      <c r="G132" s="61">
        <v>0</v>
      </c>
      <c r="H132" s="61">
        <v>0</v>
      </c>
      <c r="I132" s="61">
        <v>0</v>
      </c>
      <c r="J132" s="45" t="s">
        <v>85</v>
      </c>
      <c r="K132" s="12"/>
      <c r="L132" s="13"/>
      <c r="M132" s="13"/>
    </row>
    <row r="133" spans="1:13" s="14" customFormat="1" ht="66">
      <c r="A133" s="34">
        <v>48</v>
      </c>
      <c r="B133" s="36" t="s">
        <v>56</v>
      </c>
      <c r="C133" s="61">
        <f t="shared" si="25"/>
        <v>75.84176</v>
      </c>
      <c r="D133" s="61">
        <v>41.83</v>
      </c>
      <c r="E133" s="61">
        <v>34.01176</v>
      </c>
      <c r="F133" s="61">
        <v>0</v>
      </c>
      <c r="G133" s="61"/>
      <c r="H133" s="61">
        <v>0</v>
      </c>
      <c r="I133" s="61">
        <v>0</v>
      </c>
      <c r="J133" s="45" t="s">
        <v>86</v>
      </c>
      <c r="K133" s="12"/>
      <c r="L133" s="13"/>
      <c r="M133" s="13"/>
    </row>
    <row r="134" spans="1:13" s="14" customFormat="1" ht="33">
      <c r="A134" s="34">
        <v>49</v>
      </c>
      <c r="B134" s="36" t="s">
        <v>74</v>
      </c>
      <c r="C134" s="61">
        <f t="shared" si="25"/>
        <v>514.47</v>
      </c>
      <c r="D134" s="61">
        <v>0</v>
      </c>
      <c r="E134" s="61">
        <v>214.47</v>
      </c>
      <c r="F134" s="61">
        <v>300</v>
      </c>
      <c r="G134" s="61">
        <v>0</v>
      </c>
      <c r="H134" s="61">
        <v>0</v>
      </c>
      <c r="I134" s="61">
        <v>0</v>
      </c>
      <c r="J134" s="45" t="s">
        <v>85</v>
      </c>
      <c r="K134" s="12"/>
      <c r="L134" s="13"/>
      <c r="M134" s="13"/>
    </row>
    <row r="135" spans="1:13" s="14" customFormat="1" ht="66">
      <c r="A135" s="34">
        <v>50</v>
      </c>
      <c r="B135" s="36" t="s">
        <v>6</v>
      </c>
      <c r="C135" s="61">
        <f t="shared" si="25"/>
        <v>110</v>
      </c>
      <c r="D135" s="61">
        <v>0</v>
      </c>
      <c r="E135" s="61">
        <v>0</v>
      </c>
      <c r="F135" s="61">
        <v>110</v>
      </c>
      <c r="G135" s="61">
        <v>0</v>
      </c>
      <c r="H135" s="61">
        <v>0</v>
      </c>
      <c r="I135" s="61">
        <v>0</v>
      </c>
      <c r="J135" s="45" t="s">
        <v>87</v>
      </c>
      <c r="K135" s="12"/>
      <c r="L135" s="13"/>
      <c r="M135" s="13"/>
    </row>
    <row r="136" spans="1:13" s="14" customFormat="1" ht="66">
      <c r="A136" s="34">
        <v>51</v>
      </c>
      <c r="B136" s="36" t="s">
        <v>7</v>
      </c>
      <c r="C136" s="61">
        <f t="shared" si="25"/>
        <v>253.263</v>
      </c>
      <c r="D136" s="61">
        <v>0</v>
      </c>
      <c r="E136" s="61">
        <v>253.263</v>
      </c>
      <c r="F136" s="61">
        <v>0</v>
      </c>
      <c r="G136" s="61">
        <v>0</v>
      </c>
      <c r="H136" s="61">
        <v>0</v>
      </c>
      <c r="I136" s="61">
        <v>0</v>
      </c>
      <c r="J136" s="45" t="s">
        <v>88</v>
      </c>
      <c r="K136" s="12"/>
      <c r="L136" s="13"/>
      <c r="M136" s="13"/>
    </row>
    <row r="137" spans="1:13" s="14" customFormat="1" ht="33">
      <c r="A137" s="34">
        <v>52</v>
      </c>
      <c r="B137" s="36" t="s">
        <v>8</v>
      </c>
      <c r="C137" s="61">
        <f t="shared" si="25"/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45" t="s">
        <v>85</v>
      </c>
      <c r="K137" s="12"/>
      <c r="L137" s="13"/>
      <c r="M137" s="13"/>
    </row>
    <row r="138" spans="1:13" s="14" customFormat="1" ht="33">
      <c r="A138" s="34">
        <v>53</v>
      </c>
      <c r="B138" s="36" t="s">
        <v>110</v>
      </c>
      <c r="C138" s="61">
        <f t="shared" si="25"/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55" t="s">
        <v>85</v>
      </c>
      <c r="K138" s="12"/>
      <c r="L138" s="13"/>
      <c r="M138" s="13"/>
    </row>
    <row r="139" spans="1:13" s="14" customFormat="1" ht="33">
      <c r="A139" s="34">
        <v>54</v>
      </c>
      <c r="B139" s="36" t="s">
        <v>9</v>
      </c>
      <c r="C139" s="61">
        <f t="shared" si="25"/>
        <v>519.35</v>
      </c>
      <c r="D139" s="61">
        <v>450</v>
      </c>
      <c r="E139" s="61">
        <v>69.35</v>
      </c>
      <c r="F139" s="61">
        <v>0</v>
      </c>
      <c r="G139" s="61">
        <v>0</v>
      </c>
      <c r="H139" s="61">
        <v>0</v>
      </c>
      <c r="I139" s="61">
        <v>0</v>
      </c>
      <c r="J139" s="45" t="s">
        <v>89</v>
      </c>
      <c r="K139" s="12"/>
      <c r="L139" s="13"/>
      <c r="M139" s="13"/>
    </row>
    <row r="140" spans="1:13" s="14" customFormat="1" ht="33">
      <c r="A140" s="34">
        <v>55</v>
      </c>
      <c r="B140" s="36" t="s">
        <v>71</v>
      </c>
      <c r="C140" s="61">
        <f t="shared" si="25"/>
        <v>0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45" t="s">
        <v>90</v>
      </c>
      <c r="K140" s="12"/>
      <c r="L140" s="13"/>
      <c r="M140" s="13"/>
    </row>
    <row r="141" spans="1:13" s="14" customFormat="1" ht="33">
      <c r="A141" s="34">
        <v>56</v>
      </c>
      <c r="B141" s="36" t="s">
        <v>73</v>
      </c>
      <c r="C141" s="61">
        <f t="shared" si="25"/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45" t="s">
        <v>90</v>
      </c>
      <c r="K141" s="12"/>
      <c r="L141" s="13"/>
      <c r="M141" s="13"/>
    </row>
    <row r="142" spans="1:13" s="11" customFormat="1" ht="204" customHeight="1">
      <c r="A142" s="32">
        <v>57</v>
      </c>
      <c r="B142" s="35" t="s">
        <v>108</v>
      </c>
      <c r="C142" s="60">
        <f aca="true" t="shared" si="27" ref="C142:C148">SUM(D142:I142)</f>
        <v>500</v>
      </c>
      <c r="D142" s="60">
        <f aca="true" t="shared" si="28" ref="D142:I142">D143+D145+D147</f>
        <v>0</v>
      </c>
      <c r="E142" s="60">
        <f t="shared" si="28"/>
        <v>0</v>
      </c>
      <c r="F142" s="60">
        <f t="shared" si="28"/>
        <v>0</v>
      </c>
      <c r="G142" s="60">
        <f t="shared" si="28"/>
        <v>500</v>
      </c>
      <c r="H142" s="60">
        <f t="shared" si="28"/>
        <v>0</v>
      </c>
      <c r="I142" s="60">
        <f t="shared" si="28"/>
        <v>0</v>
      </c>
      <c r="J142" s="32" t="s">
        <v>2</v>
      </c>
      <c r="K142" s="9"/>
      <c r="L142" s="10"/>
      <c r="M142" s="10"/>
    </row>
    <row r="143" spans="1:13" s="14" customFormat="1" ht="33">
      <c r="A143" s="34">
        <v>58</v>
      </c>
      <c r="B143" s="36" t="s">
        <v>4</v>
      </c>
      <c r="C143" s="61">
        <f t="shared" si="27"/>
        <v>280</v>
      </c>
      <c r="D143" s="61">
        <f aca="true" t="shared" si="29" ref="D143:I143">D144</f>
        <v>0</v>
      </c>
      <c r="E143" s="61">
        <f t="shared" si="29"/>
        <v>0</v>
      </c>
      <c r="F143" s="61">
        <f t="shared" si="29"/>
        <v>0</v>
      </c>
      <c r="G143" s="61">
        <f t="shared" si="29"/>
        <v>280</v>
      </c>
      <c r="H143" s="61">
        <f t="shared" si="29"/>
        <v>0</v>
      </c>
      <c r="I143" s="61">
        <f t="shared" si="29"/>
        <v>0</v>
      </c>
      <c r="J143" s="34"/>
      <c r="K143" s="12"/>
      <c r="L143" s="13"/>
      <c r="M143" s="13"/>
    </row>
    <row r="144" spans="1:13" s="14" customFormat="1" ht="66">
      <c r="A144" s="34">
        <v>59</v>
      </c>
      <c r="B144" s="36" t="s">
        <v>56</v>
      </c>
      <c r="C144" s="61">
        <f t="shared" si="27"/>
        <v>280</v>
      </c>
      <c r="D144" s="61">
        <v>0</v>
      </c>
      <c r="E144" s="61">
        <v>0</v>
      </c>
      <c r="F144" s="61">
        <v>0</v>
      </c>
      <c r="G144" s="61">
        <v>280</v>
      </c>
      <c r="H144" s="61">
        <v>0</v>
      </c>
      <c r="I144" s="61">
        <v>0</v>
      </c>
      <c r="J144" s="55" t="s">
        <v>86</v>
      </c>
      <c r="K144" s="12"/>
      <c r="L144" s="13"/>
      <c r="M144" s="13"/>
    </row>
    <row r="145" spans="1:13" s="14" customFormat="1" ht="33">
      <c r="A145" s="34">
        <v>60</v>
      </c>
      <c r="B145" s="36" t="s">
        <v>1</v>
      </c>
      <c r="C145" s="61">
        <f t="shared" si="27"/>
        <v>120</v>
      </c>
      <c r="D145" s="61">
        <f aca="true" t="shared" si="30" ref="D145:I145">D146</f>
        <v>0</v>
      </c>
      <c r="E145" s="61">
        <f t="shared" si="30"/>
        <v>0</v>
      </c>
      <c r="F145" s="61">
        <f t="shared" si="30"/>
        <v>0</v>
      </c>
      <c r="G145" s="61">
        <f t="shared" si="30"/>
        <v>120</v>
      </c>
      <c r="H145" s="61">
        <f t="shared" si="30"/>
        <v>0</v>
      </c>
      <c r="I145" s="61">
        <f t="shared" si="30"/>
        <v>0</v>
      </c>
      <c r="J145" s="34"/>
      <c r="K145" s="12"/>
      <c r="L145" s="13"/>
      <c r="M145" s="13"/>
    </row>
    <row r="146" spans="1:13" s="14" customFormat="1" ht="66">
      <c r="A146" s="34">
        <v>61</v>
      </c>
      <c r="B146" s="36" t="s">
        <v>56</v>
      </c>
      <c r="C146" s="61">
        <f t="shared" si="27"/>
        <v>120</v>
      </c>
      <c r="D146" s="61">
        <v>0</v>
      </c>
      <c r="E146" s="61">
        <v>0</v>
      </c>
      <c r="F146" s="61">
        <v>0</v>
      </c>
      <c r="G146" s="61">
        <v>120</v>
      </c>
      <c r="H146" s="61">
        <v>0</v>
      </c>
      <c r="I146" s="61">
        <v>0</v>
      </c>
      <c r="J146" s="55" t="s">
        <v>86</v>
      </c>
      <c r="K146" s="12"/>
      <c r="L146" s="13"/>
      <c r="M146" s="13"/>
    </row>
    <row r="147" spans="1:13" s="14" customFormat="1" ht="66">
      <c r="A147" s="34">
        <v>62</v>
      </c>
      <c r="B147" s="36" t="s">
        <v>59</v>
      </c>
      <c r="C147" s="61">
        <f t="shared" si="27"/>
        <v>100</v>
      </c>
      <c r="D147" s="61">
        <f aca="true" t="shared" si="31" ref="D147:I147">D148</f>
        <v>0</v>
      </c>
      <c r="E147" s="61">
        <f t="shared" si="31"/>
        <v>0</v>
      </c>
      <c r="F147" s="61">
        <f t="shared" si="31"/>
        <v>0</v>
      </c>
      <c r="G147" s="61">
        <f t="shared" si="31"/>
        <v>100</v>
      </c>
      <c r="H147" s="61">
        <f t="shared" si="31"/>
        <v>0</v>
      </c>
      <c r="I147" s="61">
        <f t="shared" si="31"/>
        <v>0</v>
      </c>
      <c r="J147" s="34"/>
      <c r="K147" s="12"/>
      <c r="L147" s="13"/>
      <c r="M147" s="13"/>
    </row>
    <row r="148" spans="1:13" s="14" customFormat="1" ht="66">
      <c r="A148" s="34">
        <v>63</v>
      </c>
      <c r="B148" s="36" t="s">
        <v>56</v>
      </c>
      <c r="C148" s="61">
        <f t="shared" si="27"/>
        <v>100</v>
      </c>
      <c r="D148" s="61">
        <v>0</v>
      </c>
      <c r="E148" s="61">
        <v>0</v>
      </c>
      <c r="F148" s="61">
        <v>0</v>
      </c>
      <c r="G148" s="61">
        <v>100</v>
      </c>
      <c r="H148" s="61">
        <v>0</v>
      </c>
      <c r="I148" s="61">
        <v>0</v>
      </c>
      <c r="J148" s="55" t="s">
        <v>86</v>
      </c>
      <c r="K148" s="12"/>
      <c r="L148" s="13"/>
      <c r="M148" s="13"/>
    </row>
    <row r="149" spans="1:13" s="11" customFormat="1" ht="173.25" customHeight="1">
      <c r="A149" s="32">
        <v>64</v>
      </c>
      <c r="B149" s="35" t="s">
        <v>65</v>
      </c>
      <c r="C149" s="60">
        <f>SUM(D149:I149)</f>
        <v>806844.42599</v>
      </c>
      <c r="D149" s="60">
        <f aca="true" t="shared" si="32" ref="D149:I149">D150+D151+D158</f>
        <v>109516.80399</v>
      </c>
      <c r="E149" s="60">
        <f t="shared" si="32"/>
        <v>124182.491</v>
      </c>
      <c r="F149" s="60">
        <f>F150+F151+F158</f>
        <v>135265.111</v>
      </c>
      <c r="G149" s="60">
        <f>G150+G151+G158+0.1</f>
        <v>147837.53999999998</v>
      </c>
      <c r="H149" s="60">
        <f t="shared" si="32"/>
        <v>141938.38</v>
      </c>
      <c r="I149" s="60">
        <f t="shared" si="32"/>
        <v>148104.09999999998</v>
      </c>
      <c r="J149" s="32" t="s">
        <v>2</v>
      </c>
      <c r="K149" s="9"/>
      <c r="L149" s="10"/>
      <c r="M149" s="10"/>
    </row>
    <row r="150" spans="1:13" s="14" customFormat="1" ht="33">
      <c r="A150" s="34">
        <v>65</v>
      </c>
      <c r="B150" s="36" t="s">
        <v>4</v>
      </c>
      <c r="C150" s="61">
        <f aca="true" t="shared" si="33" ref="C150:C159">SUM(D150:I150)</f>
        <v>0</v>
      </c>
      <c r="D150" s="61">
        <f aca="true" t="shared" si="34" ref="D150:I150">D160+D164+D168+D172+D176+D180+D185+D188</f>
        <v>0</v>
      </c>
      <c r="E150" s="61">
        <f t="shared" si="34"/>
        <v>0</v>
      </c>
      <c r="F150" s="61">
        <f t="shared" si="34"/>
        <v>0</v>
      </c>
      <c r="G150" s="61">
        <f t="shared" si="34"/>
        <v>0</v>
      </c>
      <c r="H150" s="61">
        <f t="shared" si="34"/>
        <v>0</v>
      </c>
      <c r="I150" s="61">
        <f t="shared" si="34"/>
        <v>0</v>
      </c>
      <c r="J150" s="32"/>
      <c r="K150" s="12"/>
      <c r="L150" s="13"/>
      <c r="M150" s="13"/>
    </row>
    <row r="151" spans="1:13" s="14" customFormat="1" ht="33">
      <c r="A151" s="34">
        <v>66</v>
      </c>
      <c r="B151" s="36" t="s">
        <v>1</v>
      </c>
      <c r="C151" s="61">
        <f>SUM(D151:I151)</f>
        <v>16258.466</v>
      </c>
      <c r="D151" s="61">
        <f>SUM(D152:D157)</f>
        <v>3069.3329999999996</v>
      </c>
      <c r="E151" s="61">
        <f>E161+E165+E169+E173+E177+E181+E186+E189</f>
        <v>0</v>
      </c>
      <c r="F151" s="61">
        <f>SUM(F152:F157)-0.1</f>
        <v>7913.863</v>
      </c>
      <c r="G151" s="61">
        <f>SUM(G152:G157)</f>
        <v>5275.2699999999995</v>
      </c>
      <c r="H151" s="61">
        <f>SUM(H152:H157)</f>
        <v>0</v>
      </c>
      <c r="I151" s="61">
        <f>SUM(I152:I157)</f>
        <v>0</v>
      </c>
      <c r="J151" s="32"/>
      <c r="K151" s="12"/>
      <c r="L151" s="13"/>
      <c r="M151" s="13"/>
    </row>
    <row r="152" spans="1:13" s="14" customFormat="1" ht="33">
      <c r="A152" s="34">
        <v>67</v>
      </c>
      <c r="B152" s="36" t="s">
        <v>55</v>
      </c>
      <c r="C152" s="61">
        <f t="shared" si="33"/>
        <v>8287.163</v>
      </c>
      <c r="D152" s="61">
        <f>880.69+632.031+190.872</f>
        <v>1703.593</v>
      </c>
      <c r="E152" s="61">
        <v>0</v>
      </c>
      <c r="F152" s="61">
        <f>3021.022+912.348</f>
        <v>3933.37</v>
      </c>
      <c r="G152" s="61">
        <v>2650.2</v>
      </c>
      <c r="H152" s="61">
        <v>0</v>
      </c>
      <c r="I152" s="61">
        <v>0</v>
      </c>
      <c r="J152" s="32"/>
      <c r="K152" s="12"/>
      <c r="L152" s="13"/>
      <c r="M152" s="13"/>
    </row>
    <row r="153" spans="1:13" s="14" customFormat="1" ht="33">
      <c r="A153" s="34">
        <v>68</v>
      </c>
      <c r="B153" s="36" t="s">
        <v>74</v>
      </c>
      <c r="C153" s="61">
        <f t="shared" si="33"/>
        <v>2108.56</v>
      </c>
      <c r="D153" s="61">
        <f>206.46+148.167+44.746</f>
        <v>399.373</v>
      </c>
      <c r="E153" s="61">
        <v>0</v>
      </c>
      <c r="F153" s="61">
        <f>804.598+242.989</f>
        <v>1047.587</v>
      </c>
      <c r="G153" s="61">
        <v>661.6</v>
      </c>
      <c r="H153" s="61">
        <v>0</v>
      </c>
      <c r="I153" s="61">
        <v>0</v>
      </c>
      <c r="J153" s="32"/>
      <c r="K153" s="12"/>
      <c r="L153" s="13"/>
      <c r="M153" s="13"/>
    </row>
    <row r="154" spans="1:13" s="14" customFormat="1" ht="33">
      <c r="A154" s="34">
        <v>69</v>
      </c>
      <c r="B154" s="36" t="s">
        <v>6</v>
      </c>
      <c r="C154" s="61">
        <f t="shared" si="33"/>
        <v>858.035</v>
      </c>
      <c r="D154" s="61">
        <f>93.137+62.109+18.756</f>
        <v>174.002</v>
      </c>
      <c r="E154" s="61">
        <v>0</v>
      </c>
      <c r="F154" s="61">
        <f>316.385+95.548</f>
        <v>411.933</v>
      </c>
      <c r="G154" s="61">
        <v>272.1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>
        <v>70</v>
      </c>
      <c r="B155" s="36" t="s">
        <v>7</v>
      </c>
      <c r="C155" s="61">
        <f t="shared" si="33"/>
        <v>2331.891</v>
      </c>
      <c r="D155" s="61">
        <f>185.163+132.883+40.13</f>
        <v>358.17600000000004</v>
      </c>
      <c r="E155" s="61">
        <v>0</v>
      </c>
      <c r="F155" s="61">
        <f>1133.675+342.37</f>
        <v>1476.045</v>
      </c>
      <c r="G155" s="61">
        <f>497.77-0.1</f>
        <v>497.66999999999996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>
        <v>71</v>
      </c>
      <c r="B156" s="36" t="s">
        <v>8</v>
      </c>
      <c r="C156" s="61">
        <f>SUM(D156:I156)</f>
        <v>2168.4170000000004</v>
      </c>
      <c r="D156" s="61">
        <f>224.457+161.084+48.648</f>
        <v>434.189</v>
      </c>
      <c r="E156" s="61">
        <v>0</v>
      </c>
      <c r="F156" s="61">
        <f>802.633+242.395</f>
        <v>1045.028</v>
      </c>
      <c r="G156" s="61">
        <v>689.2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>
        <v>72</v>
      </c>
      <c r="B157" s="36" t="s">
        <v>110</v>
      </c>
      <c r="C157" s="61">
        <f t="shared" si="33"/>
        <v>504.5</v>
      </c>
      <c r="D157" s="61">
        <v>0</v>
      </c>
      <c r="E157" s="61">
        <v>0</v>
      </c>
      <c r="F157" s="61">
        <v>0</v>
      </c>
      <c r="G157" s="61">
        <v>504.5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66">
      <c r="A158" s="34">
        <v>73</v>
      </c>
      <c r="B158" s="36" t="s">
        <v>59</v>
      </c>
      <c r="C158" s="61">
        <f>SUM(D158:I158)</f>
        <v>790585.8599899999</v>
      </c>
      <c r="D158" s="61">
        <f aca="true" t="shared" si="35" ref="D158:I158">D159+D163+D167+D171+D175+D179+D184+D183</f>
        <v>106447.47099</v>
      </c>
      <c r="E158" s="61">
        <f t="shared" si="35"/>
        <v>124182.491</v>
      </c>
      <c r="F158" s="61">
        <f t="shared" si="35"/>
        <v>127351.248</v>
      </c>
      <c r="G158" s="61">
        <f t="shared" si="35"/>
        <v>142562.16999999998</v>
      </c>
      <c r="H158" s="61">
        <f t="shared" si="35"/>
        <v>141938.38</v>
      </c>
      <c r="I158" s="61">
        <f t="shared" si="35"/>
        <v>148104.09999999998</v>
      </c>
      <c r="J158" s="32"/>
      <c r="K158" s="12"/>
      <c r="L158" s="13"/>
      <c r="M158" s="13"/>
    </row>
    <row r="159" spans="1:13" ht="99">
      <c r="A159" s="34">
        <v>74</v>
      </c>
      <c r="B159" s="36" t="s">
        <v>55</v>
      </c>
      <c r="C159" s="61">
        <f t="shared" si="33"/>
        <v>392783.28146</v>
      </c>
      <c r="D159" s="61">
        <f>56706.045+62.486-255.98084</f>
        <v>56512.55016</v>
      </c>
      <c r="E159" s="61">
        <f>60530.521-550-405.782</f>
        <v>59574.739</v>
      </c>
      <c r="F159" s="43">
        <f>62165.087+486.7853+100-200</f>
        <v>62551.8723</v>
      </c>
      <c r="G159" s="43">
        <f>70719.973-964.35-5.6-25.52-57.2-300</f>
        <v>69367.30299999999</v>
      </c>
      <c r="H159" s="43">
        <f>70747.32-250-627.1</f>
        <v>69870.22</v>
      </c>
      <c r="I159" s="61">
        <v>74906.597</v>
      </c>
      <c r="J159" s="55" t="s">
        <v>91</v>
      </c>
      <c r="K159" s="7"/>
      <c r="L159" s="2"/>
      <c r="M159" s="2"/>
    </row>
    <row r="160" spans="1:13" ht="33" customHeight="1" hidden="1" outlineLevel="1">
      <c r="A160" s="34">
        <v>70</v>
      </c>
      <c r="B160" s="36" t="s">
        <v>4</v>
      </c>
      <c r="C160" s="61">
        <f aca="true" t="shared" si="36" ref="C160:C182">SUM(D160:I160)</f>
        <v>0</v>
      </c>
      <c r="D160" s="61"/>
      <c r="E160" s="61"/>
      <c r="F160" s="61"/>
      <c r="G160" s="43"/>
      <c r="H160" s="43"/>
      <c r="I160" s="61"/>
      <c r="J160" s="55"/>
      <c r="K160" s="7"/>
      <c r="L160" s="2"/>
      <c r="M160" s="2"/>
    </row>
    <row r="161" spans="1:13" ht="33" customHeight="1" hidden="1" outlineLevel="1">
      <c r="A161" s="34">
        <v>71</v>
      </c>
      <c r="B161" s="36" t="s">
        <v>1</v>
      </c>
      <c r="C161" s="61">
        <f t="shared" si="36"/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hidden="1" outlineLevel="1">
      <c r="A162" s="34">
        <v>72</v>
      </c>
      <c r="B162" s="36" t="s">
        <v>5</v>
      </c>
      <c r="C162" s="61">
        <f t="shared" si="36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99" collapsed="1">
      <c r="A163" s="34">
        <v>75</v>
      </c>
      <c r="B163" s="36" t="s">
        <v>56</v>
      </c>
      <c r="C163" s="61">
        <f t="shared" si="36"/>
        <v>83</v>
      </c>
      <c r="D163" s="61">
        <v>20</v>
      </c>
      <c r="E163" s="61">
        <f>31-21</f>
        <v>10</v>
      </c>
      <c r="F163" s="61">
        <f>31-6</f>
        <v>25</v>
      </c>
      <c r="G163" s="43">
        <f>31-3</f>
        <v>28</v>
      </c>
      <c r="H163" s="43">
        <v>0</v>
      </c>
      <c r="I163" s="61">
        <v>0</v>
      </c>
      <c r="J163" s="55" t="s">
        <v>92</v>
      </c>
      <c r="K163" s="7"/>
      <c r="L163" s="2"/>
      <c r="M163" s="2"/>
    </row>
    <row r="164" spans="1:13" ht="33" customHeight="1" hidden="1" outlineLevel="1">
      <c r="A164" s="34">
        <v>74</v>
      </c>
      <c r="B164" s="36" t="s">
        <v>4</v>
      </c>
      <c r="C164" s="61">
        <f t="shared" si="36"/>
        <v>0</v>
      </c>
      <c r="D164" s="61"/>
      <c r="E164" s="61"/>
      <c r="F164" s="61"/>
      <c r="G164" s="61"/>
      <c r="H164" s="61"/>
      <c r="I164" s="61"/>
      <c r="J164" s="55"/>
      <c r="K164" s="7"/>
      <c r="L164" s="2"/>
      <c r="M164" s="2"/>
    </row>
    <row r="165" spans="1:13" ht="33" customHeight="1" hidden="1" outlineLevel="1">
      <c r="A165" s="34">
        <v>75</v>
      </c>
      <c r="B165" s="36" t="s">
        <v>1</v>
      </c>
      <c r="C165" s="61">
        <f t="shared" si="36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>
        <v>76</v>
      </c>
      <c r="B166" s="36" t="s">
        <v>5</v>
      </c>
      <c r="C166" s="61">
        <f t="shared" si="36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99" collapsed="1">
      <c r="A167" s="34">
        <v>76</v>
      </c>
      <c r="B167" s="36" t="s">
        <v>74</v>
      </c>
      <c r="C167" s="61">
        <f t="shared" si="36"/>
        <v>104019.43757000001</v>
      </c>
      <c r="D167" s="61">
        <f>13327.33+1500+563.18-4.52809+6.69908</f>
        <v>15392.68099</v>
      </c>
      <c r="E167" s="61">
        <f>14930.939+3200+3892.975-137.5-1480.082-1960</f>
        <v>18446.332</v>
      </c>
      <c r="F167" s="61">
        <f>17233.093+7.88558+1800-1800-300</f>
        <v>16940.97858</v>
      </c>
      <c r="G167" s="61">
        <f>17222.08-263.29-7.3</f>
        <v>16951.49</v>
      </c>
      <c r="H167" s="61">
        <v>17640.31</v>
      </c>
      <c r="I167" s="61">
        <v>18647.646</v>
      </c>
      <c r="J167" s="55" t="s">
        <v>93</v>
      </c>
      <c r="K167" s="7"/>
      <c r="L167" s="2"/>
      <c r="M167" s="2"/>
    </row>
    <row r="168" spans="1:13" ht="33" customHeight="1" hidden="1" outlineLevel="1">
      <c r="A168" s="34">
        <v>78</v>
      </c>
      <c r="B168" s="36" t="s">
        <v>4</v>
      </c>
      <c r="C168" s="61">
        <f t="shared" si="36"/>
        <v>0</v>
      </c>
      <c r="D168" s="61"/>
      <c r="E168" s="61"/>
      <c r="F168" s="61"/>
      <c r="G168" s="61"/>
      <c r="H168" s="61"/>
      <c r="I168" s="61"/>
      <c r="J168" s="55"/>
      <c r="K168" s="7"/>
      <c r="L168" s="2"/>
      <c r="M168" s="2"/>
    </row>
    <row r="169" spans="1:13" ht="33" customHeight="1" hidden="1" outlineLevel="1">
      <c r="A169" s="34">
        <v>79</v>
      </c>
      <c r="B169" s="36" t="s">
        <v>1</v>
      </c>
      <c r="C169" s="61">
        <f t="shared" si="36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>
        <v>80</v>
      </c>
      <c r="B170" s="36" t="s">
        <v>5</v>
      </c>
      <c r="C170" s="61">
        <f t="shared" si="36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99" collapsed="1">
      <c r="A171" s="34">
        <v>77</v>
      </c>
      <c r="B171" s="36" t="s">
        <v>6</v>
      </c>
      <c r="C171" s="61">
        <f t="shared" si="36"/>
        <v>45755.15096</v>
      </c>
      <c r="D171" s="61">
        <f>6167.321+600+27.0796-4.7206+1.12296</f>
        <v>6790.80296</v>
      </c>
      <c r="E171" s="61">
        <v>6775.111</v>
      </c>
      <c r="F171" s="61">
        <f>6877.396-11.897+17.858</f>
        <v>6883.357</v>
      </c>
      <c r="G171" s="61">
        <f>7784.94-262.37+1500-25-5.7</f>
        <v>8991.869999999999</v>
      </c>
      <c r="H171" s="61">
        <v>7936.994</v>
      </c>
      <c r="I171" s="61">
        <v>8377.016</v>
      </c>
      <c r="J171" s="55" t="s">
        <v>94</v>
      </c>
      <c r="K171" s="7"/>
      <c r="L171" s="2"/>
      <c r="M171" s="2"/>
    </row>
    <row r="172" spans="1:13" ht="33" customHeight="1" hidden="1" outlineLevel="1">
      <c r="A172" s="34">
        <v>82</v>
      </c>
      <c r="B172" s="36" t="s">
        <v>4</v>
      </c>
      <c r="C172" s="61">
        <f t="shared" si="36"/>
        <v>0</v>
      </c>
      <c r="D172" s="61"/>
      <c r="E172" s="61"/>
      <c r="F172" s="61"/>
      <c r="G172" s="61"/>
      <c r="H172" s="61"/>
      <c r="I172" s="61"/>
      <c r="J172" s="55"/>
      <c r="K172" s="7"/>
      <c r="L172" s="2"/>
      <c r="M172" s="2"/>
    </row>
    <row r="173" spans="1:13" ht="33" customHeight="1" hidden="1" outlineLevel="1">
      <c r="A173" s="34">
        <v>83</v>
      </c>
      <c r="B173" s="36" t="s">
        <v>1</v>
      </c>
      <c r="C173" s="61">
        <f t="shared" si="36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>
        <v>84</v>
      </c>
      <c r="B174" s="36" t="s">
        <v>5</v>
      </c>
      <c r="C174" s="61">
        <f t="shared" si="36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108" customHeight="1" collapsed="1">
      <c r="A175" s="34">
        <v>78</v>
      </c>
      <c r="B175" s="36" t="s">
        <v>7</v>
      </c>
      <c r="C175" s="61">
        <f t="shared" si="36"/>
        <v>97382.06654</v>
      </c>
      <c r="D175" s="61">
        <v>11722.01</v>
      </c>
      <c r="E175" s="61">
        <f>23538.818+496+50-350-50-200-485.084-91.436</f>
        <v>22908.298</v>
      </c>
      <c r="F175" s="61">
        <f>24095.899+18.73654-100</f>
        <v>24014.635540000003</v>
      </c>
      <c r="G175" s="61">
        <f>26847.407+308-13671.918-51.8-9.3+200</f>
        <v>13622.389000000001</v>
      </c>
      <c r="H175" s="61">
        <f>27348.022-15146.262</f>
        <v>12201.76</v>
      </c>
      <c r="I175" s="61">
        <f>28938.162-16025.188</f>
        <v>12912.974</v>
      </c>
      <c r="J175" s="55" t="s">
        <v>103</v>
      </c>
      <c r="K175" s="7"/>
      <c r="L175" s="2"/>
      <c r="M175" s="2"/>
    </row>
    <row r="176" spans="1:13" ht="33" customHeight="1" hidden="1" outlineLevel="1">
      <c r="A176" s="34">
        <v>86</v>
      </c>
      <c r="B176" s="36" t="s">
        <v>4</v>
      </c>
      <c r="C176" s="61">
        <f t="shared" si="36"/>
        <v>0</v>
      </c>
      <c r="D176" s="61"/>
      <c r="E176" s="61"/>
      <c r="F176" s="61"/>
      <c r="G176" s="61"/>
      <c r="H176" s="61"/>
      <c r="I176" s="61"/>
      <c r="J176" s="55"/>
      <c r="K176" s="7"/>
      <c r="L176" s="2"/>
      <c r="M176" s="2"/>
    </row>
    <row r="177" spans="1:13" ht="33" customHeight="1" hidden="1" outlineLevel="1">
      <c r="A177" s="34">
        <v>87</v>
      </c>
      <c r="B177" s="36" t="s">
        <v>1</v>
      </c>
      <c r="C177" s="61">
        <f t="shared" si="36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>
        <v>88</v>
      </c>
      <c r="B178" s="36" t="s">
        <v>5</v>
      </c>
      <c r="C178" s="61">
        <f t="shared" si="36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99" collapsed="1">
      <c r="A179" s="34">
        <v>79</v>
      </c>
      <c r="B179" s="36" t="s">
        <v>8</v>
      </c>
      <c r="C179" s="61">
        <f t="shared" si="36"/>
        <v>108918.29545999998</v>
      </c>
      <c r="D179" s="61">
        <f>14743.314+200+1055.79+0.32288</f>
        <v>15999.426879999999</v>
      </c>
      <c r="E179" s="61">
        <f>16243.011+200+100-150+75</f>
        <v>16468.011</v>
      </c>
      <c r="F179" s="61">
        <f>16663.325+8.73458-100+100+200+57.345</f>
        <v>16929.404580000002</v>
      </c>
      <c r="G179" s="61">
        <f>18924.47-286.99-20-9.66+1500</f>
        <v>20107.82</v>
      </c>
      <c r="H179" s="61">
        <v>19142.854</v>
      </c>
      <c r="I179" s="61">
        <v>20270.779</v>
      </c>
      <c r="J179" s="55" t="s">
        <v>95</v>
      </c>
      <c r="K179" s="7"/>
      <c r="L179" s="2"/>
      <c r="M179" s="2"/>
    </row>
    <row r="180" spans="1:13" ht="33" customHeight="1" hidden="1" outlineLevel="1">
      <c r="A180" s="34">
        <v>90</v>
      </c>
      <c r="B180" s="36" t="s">
        <v>4</v>
      </c>
      <c r="C180" s="61">
        <f t="shared" si="36"/>
        <v>0</v>
      </c>
      <c r="D180" s="61"/>
      <c r="E180" s="61"/>
      <c r="F180" s="61"/>
      <c r="G180" s="61"/>
      <c r="H180" s="61"/>
      <c r="I180" s="61"/>
      <c r="J180" s="55"/>
      <c r="K180" s="7"/>
      <c r="L180" s="2"/>
      <c r="M180" s="2"/>
    </row>
    <row r="181" spans="1:13" ht="33" customHeight="1" hidden="1" outlineLevel="1">
      <c r="A181" s="34">
        <v>91</v>
      </c>
      <c r="B181" s="36" t="s">
        <v>1</v>
      </c>
      <c r="C181" s="61">
        <f t="shared" si="36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>
        <v>92</v>
      </c>
      <c r="B182" s="36" t="s">
        <v>5</v>
      </c>
      <c r="C182" s="61">
        <f t="shared" si="36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101.25" customHeight="1" collapsed="1">
      <c r="A183" s="34">
        <v>80</v>
      </c>
      <c r="B183" s="36" t="s">
        <v>9</v>
      </c>
      <c r="C183" s="61">
        <f>SUM(D183:I183)</f>
        <v>41</v>
      </c>
      <c r="D183" s="61">
        <v>10</v>
      </c>
      <c r="E183" s="61">
        <f>25-20-5</f>
        <v>0</v>
      </c>
      <c r="F183" s="61">
        <f>25-17-2</f>
        <v>6</v>
      </c>
      <c r="G183" s="61">
        <v>25</v>
      </c>
      <c r="H183" s="61">
        <v>0</v>
      </c>
      <c r="I183" s="61">
        <v>0</v>
      </c>
      <c r="J183" s="55" t="s">
        <v>96</v>
      </c>
      <c r="K183" s="7"/>
      <c r="L183" s="2"/>
      <c r="M183" s="2"/>
    </row>
    <row r="184" spans="1:13" ht="101.25" customHeight="1">
      <c r="A184" s="34">
        <v>81</v>
      </c>
      <c r="B184" s="36" t="s">
        <v>110</v>
      </c>
      <c r="C184" s="61">
        <f>SUM(D184:I184)</f>
        <v>41603.628</v>
      </c>
      <c r="D184" s="61">
        <v>0</v>
      </c>
      <c r="E184" s="61">
        <v>0</v>
      </c>
      <c r="F184" s="61">
        <v>0</v>
      </c>
      <c r="G184" s="61">
        <f>13671.918-3.62-200</f>
        <v>13468.297999999999</v>
      </c>
      <c r="H184" s="61">
        <f>15146.262-0.02</f>
        <v>15146.242</v>
      </c>
      <c r="I184" s="61">
        <f>16025.188-3036.1</f>
        <v>12989.088</v>
      </c>
      <c r="J184" s="55" t="s">
        <v>94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37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37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37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37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37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37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08.75" customHeight="1" collapsed="1">
      <c r="A191" s="32">
        <v>82</v>
      </c>
      <c r="B191" s="35" t="s">
        <v>62</v>
      </c>
      <c r="C191" s="60">
        <f aca="true" t="shared" si="38" ref="C191:C198">SUM(D191:I191)</f>
        <v>25851.4</v>
      </c>
      <c r="D191" s="60">
        <f aca="true" t="shared" si="39" ref="D191:I191">D192+D193+D194</f>
        <v>25851.4</v>
      </c>
      <c r="E191" s="60">
        <f t="shared" si="39"/>
        <v>0</v>
      </c>
      <c r="F191" s="60">
        <f t="shared" si="39"/>
        <v>0</v>
      </c>
      <c r="G191" s="60">
        <f t="shared" si="39"/>
        <v>0</v>
      </c>
      <c r="H191" s="60">
        <f t="shared" si="39"/>
        <v>0</v>
      </c>
      <c r="I191" s="60">
        <f t="shared" si="39"/>
        <v>0</v>
      </c>
      <c r="J191" s="32"/>
      <c r="K191" s="9"/>
      <c r="L191" s="10"/>
      <c r="M191" s="10"/>
    </row>
    <row r="192" spans="1:13" s="14" customFormat="1" ht="33">
      <c r="A192" s="34">
        <v>83</v>
      </c>
      <c r="B192" s="36" t="s">
        <v>4</v>
      </c>
      <c r="C192" s="61">
        <f t="shared" si="38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84</v>
      </c>
      <c r="B193" s="36" t="s">
        <v>75</v>
      </c>
      <c r="C193" s="61">
        <f t="shared" si="38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85</v>
      </c>
      <c r="B194" s="36" t="s">
        <v>59</v>
      </c>
      <c r="C194" s="61">
        <f t="shared" si="38"/>
        <v>25851.4</v>
      </c>
      <c r="D194" s="61">
        <f aca="true" t="shared" si="40" ref="D194:I194">D195+D196</f>
        <v>25851.4</v>
      </c>
      <c r="E194" s="61">
        <f t="shared" si="40"/>
        <v>0</v>
      </c>
      <c r="F194" s="61">
        <f t="shared" si="40"/>
        <v>0</v>
      </c>
      <c r="G194" s="61">
        <f t="shared" si="40"/>
        <v>0</v>
      </c>
      <c r="H194" s="61">
        <f t="shared" si="40"/>
        <v>0</v>
      </c>
      <c r="I194" s="61">
        <f t="shared" si="40"/>
        <v>0</v>
      </c>
      <c r="J194" s="34"/>
      <c r="K194" s="12"/>
      <c r="L194" s="13"/>
      <c r="M194" s="13"/>
    </row>
    <row r="195" spans="1:13" ht="81.75" customHeight="1">
      <c r="A195" s="34">
        <v>86</v>
      </c>
      <c r="B195" s="36" t="s">
        <v>71</v>
      </c>
      <c r="C195" s="61">
        <f t="shared" si="38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97</v>
      </c>
      <c r="K195" s="7"/>
      <c r="L195" s="2"/>
      <c r="M195" s="2"/>
    </row>
    <row r="196" spans="1:13" ht="67.5" customHeight="1">
      <c r="A196" s="34">
        <v>87</v>
      </c>
      <c r="B196" s="36" t="s">
        <v>72</v>
      </c>
      <c r="C196" s="61">
        <f t="shared" si="38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97</v>
      </c>
      <c r="K196" s="7"/>
      <c r="L196" s="2"/>
      <c r="M196" s="2"/>
    </row>
    <row r="197" spans="1:13" s="11" customFormat="1" ht="105.75" customHeight="1">
      <c r="A197" s="32">
        <v>88</v>
      </c>
      <c r="B197" s="35" t="s">
        <v>63</v>
      </c>
      <c r="C197" s="60">
        <f t="shared" si="38"/>
        <v>231254.18247999996</v>
      </c>
      <c r="D197" s="60">
        <f aca="true" t="shared" si="41" ref="D197:I197">D198+D199+D201</f>
        <v>33328.992999999995</v>
      </c>
      <c r="E197" s="60">
        <f t="shared" si="41"/>
        <v>34574.61748</v>
      </c>
      <c r="F197" s="60">
        <f>F198+F199+F201</f>
        <v>37724.082</v>
      </c>
      <c r="G197" s="60">
        <f t="shared" si="41"/>
        <v>41509.89</v>
      </c>
      <c r="H197" s="60">
        <f t="shared" si="41"/>
        <v>40796.8</v>
      </c>
      <c r="I197" s="60">
        <f t="shared" si="41"/>
        <v>43319.8</v>
      </c>
      <c r="J197" s="32"/>
      <c r="K197" s="9"/>
      <c r="L197" s="10"/>
      <c r="M197" s="10"/>
    </row>
    <row r="198" spans="1:13" s="14" customFormat="1" ht="33">
      <c r="A198" s="34">
        <v>89</v>
      </c>
      <c r="B198" s="36" t="s">
        <v>4</v>
      </c>
      <c r="C198" s="61">
        <f t="shared" si="38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90</v>
      </c>
      <c r="B199" s="36" t="s">
        <v>1</v>
      </c>
      <c r="C199" s="61">
        <f>SUM(D199:I199)+0.1</f>
        <v>5074.713000000001</v>
      </c>
      <c r="D199" s="61">
        <f aca="true" t="shared" si="42" ref="D199:I199">D200</f>
        <v>1013.2710000000001</v>
      </c>
      <c r="E199" s="61">
        <f t="shared" si="42"/>
        <v>0</v>
      </c>
      <c r="F199" s="61">
        <f t="shared" si="42"/>
        <v>2482.0820000000003</v>
      </c>
      <c r="G199" s="61">
        <f t="shared" si="42"/>
        <v>1579.26</v>
      </c>
      <c r="H199" s="61">
        <f t="shared" si="42"/>
        <v>0</v>
      </c>
      <c r="I199" s="61">
        <f t="shared" si="42"/>
        <v>0</v>
      </c>
      <c r="J199" s="34"/>
      <c r="K199" s="12"/>
      <c r="L199" s="13"/>
      <c r="M199" s="13"/>
    </row>
    <row r="200" spans="1:13" ht="42" customHeight="1">
      <c r="A200" s="34">
        <v>91</v>
      </c>
      <c r="B200" s="36" t="s">
        <v>56</v>
      </c>
      <c r="C200" s="61">
        <f>SUM(D200:I200)+0.1</f>
        <v>5074.713000000001</v>
      </c>
      <c r="D200" s="61">
        <f>520.633+378.37+114.268</f>
        <v>1013.2710000000001</v>
      </c>
      <c r="E200" s="61">
        <v>0</v>
      </c>
      <c r="F200" s="61">
        <f>1906.361+575.721</f>
        <v>2482.0820000000003</v>
      </c>
      <c r="G200" s="61">
        <f>1579.26</f>
        <v>1579.26</v>
      </c>
      <c r="H200" s="61">
        <v>0</v>
      </c>
      <c r="I200" s="61">
        <v>0</v>
      </c>
      <c r="J200" s="55"/>
      <c r="K200" s="7"/>
      <c r="L200" s="2"/>
      <c r="M200" s="2"/>
    </row>
    <row r="201" spans="1:13" s="14" customFormat="1" ht="66">
      <c r="A201" s="34">
        <v>92</v>
      </c>
      <c r="B201" s="36" t="s">
        <v>59</v>
      </c>
      <c r="C201" s="61">
        <f>SUM(D201:I201)-0.1</f>
        <v>226179.46948</v>
      </c>
      <c r="D201" s="61">
        <f aca="true" t="shared" si="43" ref="D201:I201">D202</f>
        <v>32315.721999999998</v>
      </c>
      <c r="E201" s="61">
        <f t="shared" si="43"/>
        <v>34574.61748</v>
      </c>
      <c r="F201" s="61">
        <f t="shared" si="43"/>
        <v>35242</v>
      </c>
      <c r="G201" s="61">
        <f t="shared" si="43"/>
        <v>39930.63</v>
      </c>
      <c r="H201" s="61">
        <f t="shared" si="43"/>
        <v>40796.8</v>
      </c>
      <c r="I201" s="61">
        <f t="shared" si="43"/>
        <v>43319.8</v>
      </c>
      <c r="J201" s="34"/>
      <c r="K201" s="12"/>
      <c r="L201" s="13"/>
      <c r="M201" s="13"/>
    </row>
    <row r="202" spans="1:13" ht="106.5" customHeight="1">
      <c r="A202" s="34">
        <v>93</v>
      </c>
      <c r="B202" s="36" t="s">
        <v>56</v>
      </c>
      <c r="C202" s="61">
        <f>SUM(D202:I202)-0.1</f>
        <v>226179.46948</v>
      </c>
      <c r="D202" s="61">
        <f>32382.612-11.58-55.31</f>
        <v>32315.721999999998</v>
      </c>
      <c r="E202" s="61">
        <f>34578.5-3.88252</f>
        <v>34574.61748</v>
      </c>
      <c r="F202" s="61">
        <f>35251+6-15</f>
        <v>35242</v>
      </c>
      <c r="G202" s="61">
        <f>40084.53-130.6-26.3+3</f>
        <v>39930.63</v>
      </c>
      <c r="H202" s="61">
        <v>40796.8</v>
      </c>
      <c r="I202" s="61">
        <v>43319.8</v>
      </c>
      <c r="J202" s="47" t="s">
        <v>92</v>
      </c>
      <c r="K202" s="7"/>
      <c r="L202" s="2"/>
      <c r="M202" s="2"/>
    </row>
    <row r="203" spans="1:13" s="11" customFormat="1" ht="409.5">
      <c r="A203" s="32">
        <v>94</v>
      </c>
      <c r="B203" s="35" t="s">
        <v>106</v>
      </c>
      <c r="C203" s="60">
        <f>C204+C205+C206</f>
        <v>2276.46</v>
      </c>
      <c r="D203" s="60">
        <f aca="true" t="shared" si="44" ref="D203:I203">D204+D205+D206</f>
        <v>486.46000000000004</v>
      </c>
      <c r="E203" s="60">
        <f>E204+E205+E206</f>
        <v>515</v>
      </c>
      <c r="F203" s="60">
        <f>F204+F205+F206</f>
        <v>475</v>
      </c>
      <c r="G203" s="60">
        <f t="shared" si="44"/>
        <v>400</v>
      </c>
      <c r="H203" s="60">
        <f t="shared" si="44"/>
        <v>200</v>
      </c>
      <c r="I203" s="60">
        <f t="shared" si="44"/>
        <v>200</v>
      </c>
      <c r="J203" s="32"/>
      <c r="K203" s="9"/>
      <c r="L203" s="10"/>
      <c r="M203" s="10"/>
    </row>
    <row r="204" spans="1:13" s="14" customFormat="1" ht="33">
      <c r="A204" s="34">
        <v>95</v>
      </c>
      <c r="B204" s="36" t="s">
        <v>4</v>
      </c>
      <c r="C204" s="61">
        <f>SUM(D204:I204)</f>
        <v>0</v>
      </c>
      <c r="D204" s="61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33">
      <c r="A205" s="34">
        <v>96</v>
      </c>
      <c r="B205" s="36" t="s">
        <v>1</v>
      </c>
      <c r="C205" s="61">
        <f>SUM(D205:I205)</f>
        <v>890.9</v>
      </c>
      <c r="D205" s="61">
        <v>315.9</v>
      </c>
      <c r="E205" s="61">
        <v>315</v>
      </c>
      <c r="F205" s="61">
        <v>260</v>
      </c>
      <c r="G205" s="61">
        <v>0</v>
      </c>
      <c r="H205" s="61">
        <v>0</v>
      </c>
      <c r="I205" s="61">
        <v>0</v>
      </c>
      <c r="J205" s="34"/>
      <c r="K205" s="12"/>
      <c r="L205" s="13"/>
      <c r="M205" s="13"/>
    </row>
    <row r="206" spans="1:13" s="14" customFormat="1" ht="66">
      <c r="A206" s="34">
        <v>97</v>
      </c>
      <c r="B206" s="36" t="s">
        <v>59</v>
      </c>
      <c r="C206" s="61">
        <f>SUM(D206:I206)</f>
        <v>1385.56</v>
      </c>
      <c r="D206" s="61">
        <f aca="true" t="shared" si="45" ref="D206:I206">D207</f>
        <v>170.56000000000003</v>
      </c>
      <c r="E206" s="61">
        <f t="shared" si="45"/>
        <v>200</v>
      </c>
      <c r="F206" s="61">
        <f t="shared" si="45"/>
        <v>215</v>
      </c>
      <c r="G206" s="61">
        <f t="shared" si="45"/>
        <v>400</v>
      </c>
      <c r="H206" s="61">
        <f t="shared" si="45"/>
        <v>200</v>
      </c>
      <c r="I206" s="61">
        <f t="shared" si="45"/>
        <v>200</v>
      </c>
      <c r="J206" s="34"/>
      <c r="K206" s="12"/>
      <c r="L206" s="13"/>
      <c r="M206" s="13"/>
    </row>
    <row r="207" spans="1:13" ht="104.25" customHeight="1">
      <c r="A207" s="34">
        <v>98</v>
      </c>
      <c r="B207" s="36" t="s">
        <v>56</v>
      </c>
      <c r="C207" s="61">
        <f>SUM(D207:I207)</f>
        <v>1385.56</v>
      </c>
      <c r="D207" s="61">
        <f>200-52.6+11.58+11.58</f>
        <v>170.56000000000003</v>
      </c>
      <c r="E207" s="61">
        <v>200</v>
      </c>
      <c r="F207" s="61">
        <f>200+15</f>
        <v>215</v>
      </c>
      <c r="G207" s="61">
        <f>100+300</f>
        <v>400</v>
      </c>
      <c r="H207" s="61">
        <v>200</v>
      </c>
      <c r="I207" s="61">
        <v>200</v>
      </c>
      <c r="J207" s="48" t="s">
        <v>92</v>
      </c>
      <c r="K207" s="7"/>
      <c r="L207" s="2"/>
      <c r="M207" s="2"/>
    </row>
    <row r="208" spans="1:13" s="11" customFormat="1" ht="139.5" customHeight="1">
      <c r="A208" s="32">
        <v>99</v>
      </c>
      <c r="B208" s="35" t="s">
        <v>64</v>
      </c>
      <c r="C208" s="60">
        <f>SUM(D208:I208)+0.1</f>
        <v>43244.743969999996</v>
      </c>
      <c r="D208" s="60">
        <f aca="true" t="shared" si="46" ref="D208:I208">D209+D210+D212</f>
        <v>6040.941</v>
      </c>
      <c r="E208" s="60">
        <f t="shared" si="46"/>
        <v>6481.65424</v>
      </c>
      <c r="F208" s="60">
        <f>F209+F210+F212</f>
        <v>6888.955</v>
      </c>
      <c r="G208" s="60">
        <f>G209+G210+G212</f>
        <v>8510.393730000002</v>
      </c>
      <c r="H208" s="60">
        <f t="shared" si="46"/>
        <v>7432.7</v>
      </c>
      <c r="I208" s="60">
        <f t="shared" si="46"/>
        <v>7890</v>
      </c>
      <c r="J208" s="32"/>
      <c r="K208" s="9"/>
      <c r="L208" s="10"/>
      <c r="M208" s="10"/>
    </row>
    <row r="209" spans="1:13" s="14" customFormat="1" ht="33">
      <c r="A209" s="34">
        <v>100</v>
      </c>
      <c r="B209" s="36" t="s">
        <v>4</v>
      </c>
      <c r="C209" s="61">
        <f aca="true" t="shared" si="47" ref="C209:C214">SUM(D209:I209)</f>
        <v>0</v>
      </c>
      <c r="D209" s="61">
        <v>0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33">
      <c r="A210" s="34">
        <v>101</v>
      </c>
      <c r="B210" s="36" t="s">
        <v>1</v>
      </c>
      <c r="C210" s="61">
        <f>SUM(D210:I210)+0.1</f>
        <v>928.8210000000001</v>
      </c>
      <c r="D210" s="61">
        <f>96.36+90.036</f>
        <v>186.39600000000002</v>
      </c>
      <c r="E210" s="61">
        <v>0</v>
      </c>
      <c r="F210" s="61">
        <f>F211</f>
        <v>453.95500000000004</v>
      </c>
      <c r="G210" s="61">
        <f>G211</f>
        <v>288.37</v>
      </c>
      <c r="H210" s="61">
        <v>0</v>
      </c>
      <c r="I210" s="61">
        <v>0</v>
      </c>
      <c r="J210" s="34"/>
      <c r="K210" s="12"/>
      <c r="L210" s="13"/>
      <c r="M210" s="13"/>
    </row>
    <row r="211" spans="1:13" ht="84.75" customHeight="1">
      <c r="A211" s="34">
        <v>102</v>
      </c>
      <c r="B211" s="36" t="s">
        <v>9</v>
      </c>
      <c r="C211" s="61">
        <f>SUM(D211:I211)+0.1</f>
        <v>928.8210000000001</v>
      </c>
      <c r="D211" s="61">
        <f>96.36+90.036</f>
        <v>186.39600000000002</v>
      </c>
      <c r="E211" s="61">
        <v>0</v>
      </c>
      <c r="F211" s="61">
        <f>348.66+105.295</f>
        <v>453.95500000000004</v>
      </c>
      <c r="G211" s="61">
        <v>288.37</v>
      </c>
      <c r="H211" s="61">
        <v>0</v>
      </c>
      <c r="I211" s="61">
        <v>0</v>
      </c>
      <c r="J211" s="55" t="s">
        <v>98</v>
      </c>
      <c r="K211" s="7"/>
      <c r="L211" s="2"/>
      <c r="M211" s="2"/>
    </row>
    <row r="212" spans="1:13" s="14" customFormat="1" ht="66">
      <c r="A212" s="34">
        <v>103</v>
      </c>
      <c r="B212" s="36" t="s">
        <v>59</v>
      </c>
      <c r="C212" s="61">
        <f t="shared" si="47"/>
        <v>42315.92297</v>
      </c>
      <c r="D212" s="61">
        <f aca="true" t="shared" si="48" ref="D212:I212">D213</f>
        <v>5854.545</v>
      </c>
      <c r="E212" s="61">
        <f t="shared" si="48"/>
        <v>6481.65424</v>
      </c>
      <c r="F212" s="61">
        <f t="shared" si="48"/>
        <v>6435</v>
      </c>
      <c r="G212" s="61">
        <f t="shared" si="48"/>
        <v>8222.02373</v>
      </c>
      <c r="H212" s="61">
        <f t="shared" si="48"/>
        <v>7432.7</v>
      </c>
      <c r="I212" s="61">
        <f t="shared" si="48"/>
        <v>7890</v>
      </c>
      <c r="J212" s="34"/>
      <c r="K212" s="12"/>
      <c r="L212" s="13"/>
      <c r="M212" s="13"/>
    </row>
    <row r="213" spans="1:13" ht="84.75" customHeight="1">
      <c r="A213" s="34">
        <v>104</v>
      </c>
      <c r="B213" s="36" t="s">
        <v>9</v>
      </c>
      <c r="C213" s="61">
        <f t="shared" si="47"/>
        <v>42315.92297</v>
      </c>
      <c r="D213" s="61">
        <f>5829.545+25</f>
        <v>5854.545</v>
      </c>
      <c r="E213" s="61">
        <f>6302.6+274.99+10.56424-56.5-50</f>
        <v>6481.65424</v>
      </c>
      <c r="F213" s="61">
        <f>6416+17+2</f>
        <v>6435</v>
      </c>
      <c r="G213" s="61">
        <f>9983.6+600-2581+92.028+32+75.02757-76.83757+97.20573</f>
        <v>8222.02373</v>
      </c>
      <c r="H213" s="61">
        <v>7432.7</v>
      </c>
      <c r="I213" s="61">
        <v>7890</v>
      </c>
      <c r="J213" s="49" t="s">
        <v>98</v>
      </c>
      <c r="K213" s="7"/>
      <c r="L213" s="2"/>
      <c r="M213" s="2"/>
    </row>
    <row r="214" spans="1:13" ht="72" customHeight="1">
      <c r="A214" s="32">
        <v>105</v>
      </c>
      <c r="B214" s="35" t="s">
        <v>68</v>
      </c>
      <c r="C214" s="60">
        <f t="shared" si="47"/>
        <v>52177.432</v>
      </c>
      <c r="D214" s="60">
        <f aca="true" t="shared" si="49" ref="D214:I214">D217</f>
        <v>7422.727</v>
      </c>
      <c r="E214" s="60">
        <f t="shared" si="49"/>
        <v>8282.5</v>
      </c>
      <c r="F214" s="60">
        <f t="shared" si="49"/>
        <v>8556.205</v>
      </c>
      <c r="G214" s="60">
        <f t="shared" si="49"/>
        <v>9004</v>
      </c>
      <c r="H214" s="60">
        <f t="shared" si="49"/>
        <v>9286</v>
      </c>
      <c r="I214" s="60">
        <f t="shared" si="49"/>
        <v>9626</v>
      </c>
      <c r="J214" s="32"/>
      <c r="K214" s="7"/>
      <c r="L214" s="2"/>
      <c r="M214" s="2"/>
    </row>
    <row r="215" spans="1:13" ht="33">
      <c r="A215" s="34">
        <v>106</v>
      </c>
      <c r="B215" s="36" t="s">
        <v>4</v>
      </c>
      <c r="C215" s="61">
        <f>SUM(D215:E215)</f>
        <v>0</v>
      </c>
      <c r="D215" s="61">
        <v>0</v>
      </c>
      <c r="E215" s="61">
        <v>0</v>
      </c>
      <c r="F215" s="61">
        <f>SUM(G215:H215)</f>
        <v>0</v>
      </c>
      <c r="G215" s="61">
        <v>0</v>
      </c>
      <c r="H215" s="61">
        <v>0</v>
      </c>
      <c r="I215" s="61">
        <v>0</v>
      </c>
      <c r="J215" s="34"/>
      <c r="K215" s="7"/>
      <c r="L215" s="2"/>
      <c r="M215" s="2"/>
    </row>
    <row r="216" spans="1:13" ht="33">
      <c r="A216" s="34">
        <v>107</v>
      </c>
      <c r="B216" s="36" t="s">
        <v>1</v>
      </c>
      <c r="C216" s="61">
        <f>SUM(D216:E216)</f>
        <v>0</v>
      </c>
      <c r="D216" s="61">
        <v>0</v>
      </c>
      <c r="E216" s="61">
        <v>0</v>
      </c>
      <c r="F216" s="61">
        <f>SUM(G216:H216)</f>
        <v>0</v>
      </c>
      <c r="G216" s="61">
        <v>0</v>
      </c>
      <c r="H216" s="61">
        <v>0</v>
      </c>
      <c r="I216" s="61">
        <v>0</v>
      </c>
      <c r="J216" s="34"/>
      <c r="K216" s="7"/>
      <c r="L216" s="2"/>
      <c r="M216" s="2"/>
    </row>
    <row r="217" spans="1:13" ht="33">
      <c r="A217" s="34">
        <v>108</v>
      </c>
      <c r="B217" s="36" t="s">
        <v>60</v>
      </c>
      <c r="C217" s="61">
        <f>C218+C219+0.1</f>
        <v>52177.43199999999</v>
      </c>
      <c r="D217" s="61">
        <f aca="true" t="shared" si="50" ref="D217:I217">D218+D219</f>
        <v>7422.727</v>
      </c>
      <c r="E217" s="61">
        <f t="shared" si="50"/>
        <v>8282.5</v>
      </c>
      <c r="F217" s="61">
        <f t="shared" si="50"/>
        <v>8556.205</v>
      </c>
      <c r="G217" s="61">
        <f t="shared" si="50"/>
        <v>9004</v>
      </c>
      <c r="H217" s="61">
        <f t="shared" si="50"/>
        <v>9286</v>
      </c>
      <c r="I217" s="61">
        <f t="shared" si="50"/>
        <v>9626</v>
      </c>
      <c r="J217" s="34"/>
      <c r="K217" s="7"/>
      <c r="L217" s="2"/>
      <c r="M217" s="2"/>
    </row>
    <row r="218" spans="1:13" ht="99">
      <c r="A218" s="34">
        <v>109</v>
      </c>
      <c r="B218" s="36" t="s">
        <v>54</v>
      </c>
      <c r="C218" s="61">
        <f>SUM(D218:I218)</f>
        <v>40430.465</v>
      </c>
      <c r="D218" s="61">
        <v>5851.485</v>
      </c>
      <c r="E218" s="61">
        <v>6296.78</v>
      </c>
      <c r="F218" s="61">
        <v>6701</v>
      </c>
      <c r="G218" s="61">
        <f>17.8+7065.9-110</f>
        <v>6973.7</v>
      </c>
      <c r="H218" s="61">
        <v>7173.5</v>
      </c>
      <c r="I218" s="61">
        <v>7434</v>
      </c>
      <c r="J218" s="50">
        <v>37</v>
      </c>
      <c r="K218" s="7"/>
      <c r="L218" s="2"/>
      <c r="M218" s="2"/>
    </row>
    <row r="219" spans="1:13" ht="74.25" customHeight="1">
      <c r="A219" s="34">
        <v>110</v>
      </c>
      <c r="B219" s="36" t="s">
        <v>67</v>
      </c>
      <c r="C219" s="61">
        <f>SUM(D219:I219)-0.1</f>
        <v>11746.867</v>
      </c>
      <c r="D219" s="61">
        <v>1571.242</v>
      </c>
      <c r="E219" s="61">
        <f>1970.72+15</f>
        <v>1985.72</v>
      </c>
      <c r="F219" s="61">
        <f>2028.7-18.682-137.3-17.513</f>
        <v>1855.2050000000002</v>
      </c>
      <c r="G219" s="61">
        <f>2051.3+8-29</f>
        <v>2030.3000000000002</v>
      </c>
      <c r="H219" s="61">
        <v>2112.5</v>
      </c>
      <c r="I219" s="61">
        <v>2192</v>
      </c>
      <c r="J219" s="50">
        <v>37</v>
      </c>
      <c r="K219" s="7"/>
      <c r="L219" s="2"/>
      <c r="M219" s="2"/>
    </row>
    <row r="220" spans="1:13" ht="99">
      <c r="A220" s="32">
        <v>111</v>
      </c>
      <c r="B220" s="35" t="s">
        <v>70</v>
      </c>
      <c r="C220" s="60">
        <f>SUM(D220:I220)</f>
        <v>131.35</v>
      </c>
      <c r="D220" s="60">
        <f aca="true" t="shared" si="51" ref="D220:I220">D223</f>
        <v>0</v>
      </c>
      <c r="E220" s="60">
        <f t="shared" si="51"/>
        <v>131.35</v>
      </c>
      <c r="F220" s="60">
        <f t="shared" si="51"/>
        <v>0</v>
      </c>
      <c r="G220" s="60">
        <f t="shared" si="51"/>
        <v>0</v>
      </c>
      <c r="H220" s="60">
        <f t="shared" si="51"/>
        <v>0</v>
      </c>
      <c r="I220" s="60">
        <f t="shared" si="51"/>
        <v>0</v>
      </c>
      <c r="J220" s="32"/>
      <c r="K220" s="7"/>
      <c r="L220" s="2"/>
      <c r="M220" s="2"/>
    </row>
    <row r="221" spans="1:13" ht="33">
      <c r="A221" s="34">
        <v>112</v>
      </c>
      <c r="B221" s="36" t="s">
        <v>4</v>
      </c>
      <c r="C221" s="61">
        <f>SUM(D221:E221)</f>
        <v>0</v>
      </c>
      <c r="D221" s="61">
        <v>0</v>
      </c>
      <c r="E221" s="61">
        <v>0</v>
      </c>
      <c r="F221" s="61">
        <f>SUM(G221:H221)</f>
        <v>0</v>
      </c>
      <c r="G221" s="61">
        <v>0</v>
      </c>
      <c r="H221" s="61">
        <v>0</v>
      </c>
      <c r="I221" s="61">
        <v>0</v>
      </c>
      <c r="J221" s="34"/>
      <c r="K221" s="7"/>
      <c r="L221" s="2"/>
      <c r="M221" s="2"/>
    </row>
    <row r="222" spans="1:13" ht="33">
      <c r="A222" s="34">
        <v>113</v>
      </c>
      <c r="B222" s="36" t="s">
        <v>1</v>
      </c>
      <c r="C222" s="61">
        <f>SUM(D222:E222)</f>
        <v>0</v>
      </c>
      <c r="D222" s="61">
        <v>0</v>
      </c>
      <c r="E222" s="61">
        <v>0</v>
      </c>
      <c r="F222" s="61">
        <f>SUM(G222:H222)</f>
        <v>0</v>
      </c>
      <c r="G222" s="61">
        <v>0</v>
      </c>
      <c r="H222" s="61">
        <v>0</v>
      </c>
      <c r="I222" s="61">
        <v>0</v>
      </c>
      <c r="J222" s="34"/>
      <c r="K222" s="7"/>
      <c r="L222" s="2"/>
      <c r="M222" s="2"/>
    </row>
    <row r="223" spans="1:13" ht="66">
      <c r="A223" s="34">
        <v>114</v>
      </c>
      <c r="B223" s="36" t="s">
        <v>59</v>
      </c>
      <c r="C223" s="61">
        <f aca="true" t="shared" si="52" ref="C223:C232">SUM(D223:I223)</f>
        <v>131.35</v>
      </c>
      <c r="D223" s="61">
        <f aca="true" t="shared" si="53" ref="D223:I223">D228+D224+D225+D227+D226</f>
        <v>0</v>
      </c>
      <c r="E223" s="61">
        <f t="shared" si="53"/>
        <v>131.35</v>
      </c>
      <c r="F223" s="61">
        <f t="shared" si="53"/>
        <v>0</v>
      </c>
      <c r="G223" s="61">
        <f t="shared" si="53"/>
        <v>0</v>
      </c>
      <c r="H223" s="61">
        <f t="shared" si="53"/>
        <v>0</v>
      </c>
      <c r="I223" s="61">
        <f t="shared" si="53"/>
        <v>0</v>
      </c>
      <c r="J223" s="34"/>
      <c r="K223" s="7"/>
      <c r="L223" s="2"/>
      <c r="M223" s="2"/>
    </row>
    <row r="224" spans="1:10" ht="66">
      <c r="A224" s="34">
        <v>115</v>
      </c>
      <c r="B224" s="36" t="s">
        <v>56</v>
      </c>
      <c r="C224" s="61">
        <f t="shared" si="52"/>
        <v>131.35</v>
      </c>
      <c r="D224" s="61">
        <v>0</v>
      </c>
      <c r="E224" s="61">
        <f>174-42.65</f>
        <v>131.35</v>
      </c>
      <c r="F224" s="61">
        <v>0</v>
      </c>
      <c r="G224" s="61">
        <v>0</v>
      </c>
      <c r="H224" s="61">
        <v>0</v>
      </c>
      <c r="I224" s="61">
        <v>0</v>
      </c>
      <c r="J224" s="52" t="s">
        <v>86</v>
      </c>
    </row>
    <row r="225" spans="1:10" ht="66">
      <c r="A225" s="34">
        <v>116</v>
      </c>
      <c r="B225" s="36" t="s">
        <v>6</v>
      </c>
      <c r="C225" s="61">
        <f t="shared" si="52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2" t="s">
        <v>87</v>
      </c>
    </row>
    <row r="226" spans="1:10" ht="33">
      <c r="A226" s="34">
        <v>117</v>
      </c>
      <c r="B226" s="36" t="s">
        <v>55</v>
      </c>
      <c r="C226" s="61">
        <f t="shared" si="52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85</v>
      </c>
    </row>
    <row r="227" spans="1:10" ht="33">
      <c r="A227" s="34">
        <v>118</v>
      </c>
      <c r="B227" s="36" t="s">
        <v>9</v>
      </c>
      <c r="C227" s="61">
        <f t="shared" si="52"/>
        <v>0</v>
      </c>
      <c r="D227" s="61">
        <v>0</v>
      </c>
      <c r="E227" s="61">
        <v>0</v>
      </c>
      <c r="F227" s="61">
        <v>0</v>
      </c>
      <c r="G227" s="61">
        <v>0</v>
      </c>
      <c r="H227" s="61">
        <v>0</v>
      </c>
      <c r="I227" s="61">
        <v>0</v>
      </c>
      <c r="J227" s="51" t="s">
        <v>89</v>
      </c>
    </row>
    <row r="228" spans="1:10" ht="33">
      <c r="A228" s="34">
        <v>119</v>
      </c>
      <c r="B228" s="36" t="s">
        <v>72</v>
      </c>
      <c r="C228" s="61">
        <f t="shared" si="52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51" t="s">
        <v>90</v>
      </c>
    </row>
    <row r="229" spans="1:13" ht="108.75" customHeight="1">
      <c r="A229" s="32">
        <v>120</v>
      </c>
      <c r="B229" s="35" t="s">
        <v>69</v>
      </c>
      <c r="C229" s="60">
        <f t="shared" si="52"/>
        <v>0</v>
      </c>
      <c r="D229" s="60">
        <f aca="true" t="shared" si="54" ref="D229:I229">D232</f>
        <v>0</v>
      </c>
      <c r="E229" s="60">
        <f t="shared" si="54"/>
        <v>0</v>
      </c>
      <c r="F229" s="60">
        <f t="shared" si="54"/>
        <v>0</v>
      </c>
      <c r="G229" s="60">
        <f t="shared" si="54"/>
        <v>0</v>
      </c>
      <c r="H229" s="60">
        <f t="shared" si="54"/>
        <v>0</v>
      </c>
      <c r="I229" s="60">
        <f t="shared" si="54"/>
        <v>0</v>
      </c>
      <c r="J229" s="32"/>
      <c r="K229" s="7"/>
      <c r="L229" s="2"/>
      <c r="M229" s="2"/>
    </row>
    <row r="230" spans="1:13" ht="33">
      <c r="A230" s="34">
        <v>121</v>
      </c>
      <c r="B230" s="36" t="s">
        <v>4</v>
      </c>
      <c r="C230" s="61">
        <f t="shared" si="52"/>
        <v>0</v>
      </c>
      <c r="D230" s="61">
        <v>0</v>
      </c>
      <c r="E230" s="61">
        <v>0</v>
      </c>
      <c r="F230" s="61">
        <v>0</v>
      </c>
      <c r="G230" s="61">
        <v>0</v>
      </c>
      <c r="H230" s="61">
        <v>0</v>
      </c>
      <c r="I230" s="61">
        <v>0</v>
      </c>
      <c r="J230" s="34"/>
      <c r="K230" s="7"/>
      <c r="L230" s="2"/>
      <c r="M230" s="2"/>
    </row>
    <row r="231" spans="1:13" ht="33">
      <c r="A231" s="34">
        <v>122</v>
      </c>
      <c r="B231" s="36" t="s">
        <v>1</v>
      </c>
      <c r="C231" s="61">
        <f t="shared" si="52"/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34"/>
      <c r="K231" s="7"/>
      <c r="L231" s="2"/>
      <c r="M231" s="2"/>
    </row>
    <row r="232" spans="1:13" ht="66">
      <c r="A232" s="34">
        <v>123</v>
      </c>
      <c r="B232" s="36" t="s">
        <v>59</v>
      </c>
      <c r="C232" s="61">
        <f t="shared" si="52"/>
        <v>0</v>
      </c>
      <c r="D232" s="61">
        <f aca="true" t="shared" si="55" ref="D232:I232">SUM(D233:D236)</f>
        <v>0</v>
      </c>
      <c r="E232" s="61">
        <f t="shared" si="55"/>
        <v>0</v>
      </c>
      <c r="F232" s="61">
        <f t="shared" si="55"/>
        <v>0</v>
      </c>
      <c r="G232" s="61">
        <f t="shared" si="55"/>
        <v>0</v>
      </c>
      <c r="H232" s="61">
        <f t="shared" si="55"/>
        <v>0</v>
      </c>
      <c r="I232" s="61">
        <f t="shared" si="55"/>
        <v>0</v>
      </c>
      <c r="J232" s="34"/>
      <c r="K232" s="7"/>
      <c r="L232" s="2"/>
      <c r="M232" s="2"/>
    </row>
    <row r="233" spans="1:10" ht="33">
      <c r="A233" s="34">
        <v>124</v>
      </c>
      <c r="B233" s="36" t="s">
        <v>7</v>
      </c>
      <c r="C233" s="61">
        <f>SUM(D233:I233)</f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40"/>
    </row>
    <row r="234" spans="1:10" ht="33">
      <c r="A234" s="34">
        <v>125</v>
      </c>
      <c r="B234" s="36" t="s">
        <v>55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33">
      <c r="A235" s="34">
        <v>126</v>
      </c>
      <c r="B235" s="36" t="s">
        <v>56</v>
      </c>
      <c r="C235" s="61">
        <f>SUM(D235:I235)</f>
        <v>0</v>
      </c>
      <c r="D235" s="61">
        <v>0</v>
      </c>
      <c r="E235" s="61">
        <v>0</v>
      </c>
      <c r="F235" s="61">
        <v>0</v>
      </c>
      <c r="G235" s="61">
        <v>0</v>
      </c>
      <c r="H235" s="61">
        <v>0</v>
      </c>
      <c r="I235" s="61">
        <v>0</v>
      </c>
      <c r="J235" s="34"/>
      <c r="K235" s="7"/>
      <c r="L235" s="2"/>
      <c r="M235" s="2"/>
    </row>
    <row r="236" spans="1:10" ht="33">
      <c r="A236" s="34">
        <v>127</v>
      </c>
      <c r="B236" s="36" t="s">
        <v>74</v>
      </c>
      <c r="C236" s="61">
        <f>SUM(D236:I236)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40"/>
    </row>
    <row r="237" spans="1:13" ht="142.5" customHeight="1">
      <c r="A237" s="32">
        <v>128</v>
      </c>
      <c r="B237" s="35" t="s">
        <v>77</v>
      </c>
      <c r="C237" s="60">
        <f>SUM(D237:I237)</f>
        <v>227.79999999999998</v>
      </c>
      <c r="D237" s="60">
        <f>D241+D240+D238</f>
        <v>227.79999999999998</v>
      </c>
      <c r="E237" s="60">
        <f>E241</f>
        <v>0</v>
      </c>
      <c r="F237" s="60">
        <f>F241</f>
        <v>0</v>
      </c>
      <c r="G237" s="60">
        <f>G241</f>
        <v>0</v>
      </c>
      <c r="H237" s="60">
        <f>H241</f>
        <v>0</v>
      </c>
      <c r="I237" s="60">
        <f>I241</f>
        <v>0</v>
      </c>
      <c r="J237" s="32">
        <v>36</v>
      </c>
      <c r="K237" s="7"/>
      <c r="L237" s="2"/>
      <c r="M237" s="2"/>
    </row>
    <row r="238" spans="1:13" ht="33">
      <c r="A238" s="34">
        <v>129</v>
      </c>
      <c r="B238" s="36" t="s">
        <v>4</v>
      </c>
      <c r="C238" s="61">
        <f aca="true" t="shared" si="56" ref="C238:C246">SUM(D238:E238)</f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33">
      <c r="A239" s="34">
        <v>130</v>
      </c>
      <c r="B239" s="36" t="s">
        <v>1</v>
      </c>
      <c r="C239" s="61">
        <f t="shared" si="56"/>
        <v>175.2</v>
      </c>
      <c r="D239" s="61">
        <f>D240</f>
        <v>175.2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34"/>
      <c r="K239" s="7"/>
      <c r="L239" s="2"/>
      <c r="M239" s="2"/>
    </row>
    <row r="240" spans="1:13" ht="33">
      <c r="A240" s="34">
        <v>131</v>
      </c>
      <c r="B240" s="36" t="s">
        <v>56</v>
      </c>
      <c r="C240" s="61">
        <f t="shared" si="56"/>
        <v>175.2</v>
      </c>
      <c r="D240" s="61">
        <v>175.2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34"/>
      <c r="K240" s="7"/>
      <c r="L240" s="2"/>
      <c r="M240" s="2"/>
    </row>
    <row r="241" spans="1:13" ht="66">
      <c r="A241" s="34">
        <v>132</v>
      </c>
      <c r="B241" s="36" t="s">
        <v>59</v>
      </c>
      <c r="C241" s="61">
        <f>SUM(D241:I241)</f>
        <v>52.6</v>
      </c>
      <c r="D241" s="61">
        <f>D244</f>
        <v>52.6</v>
      </c>
      <c r="E241" s="61">
        <f>E244</f>
        <v>0</v>
      </c>
      <c r="F241" s="61">
        <f>F242+F243</f>
        <v>0</v>
      </c>
      <c r="G241" s="61">
        <f>G242+G243</f>
        <v>0</v>
      </c>
      <c r="H241" s="61">
        <f>H242+H243+H244</f>
        <v>0</v>
      </c>
      <c r="I241" s="61">
        <f>I242+I243+I244</f>
        <v>0</v>
      </c>
      <c r="J241" s="34"/>
      <c r="K241" s="7"/>
      <c r="L241" s="2"/>
      <c r="M241" s="2"/>
    </row>
    <row r="242" spans="1:13" ht="33">
      <c r="A242" s="34">
        <v>133</v>
      </c>
      <c r="B242" s="36" t="s">
        <v>71</v>
      </c>
      <c r="C242" s="61">
        <f>SUM(D242:I242)</f>
        <v>0</v>
      </c>
      <c r="D242" s="61">
        <v>0</v>
      </c>
      <c r="E242" s="61">
        <v>0</v>
      </c>
      <c r="F242" s="61">
        <v>0</v>
      </c>
      <c r="G242" s="61">
        <v>0</v>
      </c>
      <c r="H242" s="61">
        <v>0</v>
      </c>
      <c r="I242" s="61">
        <v>0</v>
      </c>
      <c r="J242" s="53" t="s">
        <v>90</v>
      </c>
      <c r="K242" s="7"/>
      <c r="L242" s="2"/>
      <c r="M242" s="2"/>
    </row>
    <row r="243" spans="1:10" ht="33">
      <c r="A243" s="34">
        <v>134</v>
      </c>
      <c r="B243" s="36" t="s">
        <v>72</v>
      </c>
      <c r="C243" s="61">
        <f>SUM(D243:I243)</f>
        <v>0</v>
      </c>
      <c r="D243" s="61">
        <v>0</v>
      </c>
      <c r="E243" s="61">
        <v>0</v>
      </c>
      <c r="F243" s="61">
        <v>0</v>
      </c>
      <c r="G243" s="61">
        <v>0</v>
      </c>
      <c r="H243" s="61">
        <v>0</v>
      </c>
      <c r="I243" s="61">
        <v>0</v>
      </c>
      <c r="J243" s="54" t="s">
        <v>90</v>
      </c>
    </row>
    <row r="244" spans="1:10" ht="33">
      <c r="A244" s="34">
        <v>135</v>
      </c>
      <c r="B244" s="36" t="s">
        <v>56</v>
      </c>
      <c r="C244" s="61">
        <f>SUM(D244:I244)</f>
        <v>52.6</v>
      </c>
      <c r="D244" s="61">
        <v>52.6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4"/>
    </row>
    <row r="245" spans="1:13" ht="176.25" customHeight="1">
      <c r="A245" s="32">
        <v>136</v>
      </c>
      <c r="B245" s="35" t="s">
        <v>104</v>
      </c>
      <c r="C245" s="60">
        <f>SUM(D245:I245)</f>
        <v>0</v>
      </c>
      <c r="D245" s="60">
        <f aca="true" t="shared" si="57" ref="D245:I245">D248</f>
        <v>0</v>
      </c>
      <c r="E245" s="60">
        <f t="shared" si="57"/>
        <v>0</v>
      </c>
      <c r="F245" s="60">
        <f t="shared" si="57"/>
        <v>0</v>
      </c>
      <c r="G245" s="60">
        <f t="shared" si="57"/>
        <v>0</v>
      </c>
      <c r="H245" s="60">
        <f t="shared" si="57"/>
        <v>0</v>
      </c>
      <c r="I245" s="60">
        <f t="shared" si="57"/>
        <v>0</v>
      </c>
      <c r="J245" s="56">
        <v>36</v>
      </c>
      <c r="K245" s="7"/>
      <c r="L245" s="2"/>
      <c r="M245" s="2"/>
    </row>
    <row r="246" spans="1:13" ht="33">
      <c r="A246" s="34">
        <v>137</v>
      </c>
      <c r="B246" s="36" t="s">
        <v>4</v>
      </c>
      <c r="C246" s="61">
        <f t="shared" si="56"/>
        <v>0</v>
      </c>
      <c r="D246" s="61">
        <v>0</v>
      </c>
      <c r="E246" s="61">
        <v>0</v>
      </c>
      <c r="F246" s="61">
        <v>0</v>
      </c>
      <c r="G246" s="61">
        <v>0</v>
      </c>
      <c r="H246" s="61">
        <v>0</v>
      </c>
      <c r="I246" s="61">
        <v>0</v>
      </c>
      <c r="J246" s="55"/>
      <c r="K246" s="7"/>
      <c r="L246" s="2"/>
      <c r="M246" s="2"/>
    </row>
    <row r="247" spans="1:13" ht="33">
      <c r="A247" s="34">
        <v>138</v>
      </c>
      <c r="B247" s="36" t="s">
        <v>1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/>
      <c r="K247" s="7"/>
      <c r="L247" s="2"/>
      <c r="M247" s="2"/>
    </row>
    <row r="248" spans="1:13" ht="66">
      <c r="A248" s="34">
        <v>139</v>
      </c>
      <c r="B248" s="36" t="s">
        <v>59</v>
      </c>
      <c r="C248" s="61">
        <f>SUM(D248:I248)</f>
        <v>0</v>
      </c>
      <c r="D248" s="61">
        <f aca="true" t="shared" si="58" ref="D248:I248">SUM(D249:D251)</f>
        <v>0</v>
      </c>
      <c r="E248" s="61">
        <f t="shared" si="58"/>
        <v>0</v>
      </c>
      <c r="F248" s="61">
        <f t="shared" si="58"/>
        <v>0</v>
      </c>
      <c r="G248" s="61">
        <f t="shared" si="58"/>
        <v>0</v>
      </c>
      <c r="H248" s="61">
        <f t="shared" si="58"/>
        <v>0</v>
      </c>
      <c r="I248" s="61">
        <f t="shared" si="58"/>
        <v>0</v>
      </c>
      <c r="J248" s="55"/>
      <c r="K248" s="7"/>
      <c r="L248" s="2"/>
      <c r="M248" s="2"/>
    </row>
    <row r="249" spans="1:13" ht="66">
      <c r="A249" s="34">
        <v>140</v>
      </c>
      <c r="B249" s="36" t="s">
        <v>56</v>
      </c>
      <c r="C249" s="61">
        <f>SUM(D249:I249)</f>
        <v>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0</v>
      </c>
      <c r="J249" s="55" t="s">
        <v>86</v>
      </c>
      <c r="K249" s="7"/>
      <c r="L249" s="2"/>
      <c r="M249" s="2"/>
    </row>
    <row r="250" spans="1:10" ht="33">
      <c r="A250" s="34">
        <v>141</v>
      </c>
      <c r="B250" s="36" t="s">
        <v>55</v>
      </c>
      <c r="C250" s="61">
        <f>SUM(D250:I250)</f>
        <v>0</v>
      </c>
      <c r="D250" s="61">
        <v>0</v>
      </c>
      <c r="E250" s="61">
        <v>0</v>
      </c>
      <c r="F250" s="61">
        <v>0</v>
      </c>
      <c r="G250" s="61">
        <v>0</v>
      </c>
      <c r="H250" s="61">
        <v>0</v>
      </c>
      <c r="I250" s="61">
        <v>0</v>
      </c>
      <c r="J250" s="57" t="s">
        <v>85</v>
      </c>
    </row>
    <row r="251" spans="1:10" ht="66">
      <c r="A251" s="34">
        <v>142</v>
      </c>
      <c r="B251" s="36" t="s">
        <v>6</v>
      </c>
      <c r="C251" s="61">
        <f>SUM(D251:I251)</f>
        <v>0</v>
      </c>
      <c r="D251" s="61">
        <v>0</v>
      </c>
      <c r="E251" s="61">
        <v>0</v>
      </c>
      <c r="F251" s="61">
        <v>0</v>
      </c>
      <c r="G251" s="61">
        <v>0</v>
      </c>
      <c r="H251" s="61">
        <v>0</v>
      </c>
      <c r="I251" s="61">
        <v>0</v>
      </c>
      <c r="J251" s="58" t="s">
        <v>87</v>
      </c>
    </row>
    <row r="252" ht="58.5" customHeight="1">
      <c r="B252" s="63" t="s">
        <v>105</v>
      </c>
    </row>
    <row r="492" ht="17.25">
      <c r="D492" s="1" t="s">
        <v>109</v>
      </c>
    </row>
  </sheetData>
  <sheetProtection/>
  <autoFilter ref="A15:M190"/>
  <mergeCells count="12">
    <mergeCell ref="G7:J7"/>
    <mergeCell ref="G3:J3"/>
    <mergeCell ref="G1:J1"/>
    <mergeCell ref="G2:J2"/>
    <mergeCell ref="G5:J5"/>
    <mergeCell ref="G6:J6"/>
    <mergeCell ref="D8:J8"/>
    <mergeCell ref="A9:J9"/>
    <mergeCell ref="A10:A14"/>
    <mergeCell ref="B10:B14"/>
    <mergeCell ref="C10:I13"/>
    <mergeCell ref="J10:J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2" manualBreakCount="2">
    <brk id="213" max="9" man="1"/>
    <brk id="2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Екатерина Брылина</cp:lastModifiedBy>
  <cp:lastPrinted>2022-12-06T07:19:41Z</cp:lastPrinted>
  <dcterms:created xsi:type="dcterms:W3CDTF">2010-08-25T12:40:26Z</dcterms:created>
  <dcterms:modified xsi:type="dcterms:W3CDTF">2022-12-28T06:20:09Z</dcterms:modified>
  <cp:category/>
  <cp:version/>
  <cp:contentType/>
  <cp:contentStatus/>
</cp:coreProperties>
</file>